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Light"/>
  <workbookPr codeName="ThisWorkbook"/>
  <bookViews>
    <workbookView xWindow="-120" yWindow="-120" windowWidth="20730" windowHeight="11310" tabRatio="899"/>
  </bookViews>
  <sheets>
    <sheet name="GENERAL INFO" sheetId="30" r:id="rId1"/>
    <sheet name="JAPANESE INCOME" sheetId="52" r:id="rId2"/>
    <sheet name="A &amp; L INFO" sheetId="61" r:id="rId3"/>
    <sheet name="DRAFT A&amp;L" sheetId="75" r:id="rId4"/>
    <sheet name="EXC RATES" sheetId="67" r:id="rId5" state="hidden"/>
    <sheet name="exch.rate" sheetId="70" r:id="rId6"/>
    <sheet name="Appointment" sheetId="74" r:id="rId7"/>
    <sheet name="1770S JP" sheetId="55" r:id="rId8"/>
    <sheet name="1770 S-1 JP" sheetId="56" r:id="rId9"/>
    <sheet name="1770 S-II JP" sheetId="71" r:id="rId10"/>
    <sheet name="1770 S-II JP (2)" sheetId="66" r:id="rId11"/>
    <sheet name="1721-A1 JP" sheetId="72" r:id="rId12"/>
    <sheet name="1721-A1 JP (2)" sheetId="73" r:id="rId13"/>
    <sheet name="Attachment JP" sheetId="62" r:id="rId14"/>
    <sheet name="1770S" sheetId="27" r:id="rId15"/>
    <sheet name="1770 S-1" sheetId="28" r:id="rId16"/>
    <sheet name="1770 S-II" sheetId="29" r:id="rId17"/>
    <sheet name="1770 S-II (2)" sheetId="65" r:id="rId18"/>
    <sheet name="LAMPIRAN" sheetId="37" r:id="rId19"/>
    <sheet name="CalculationSheet" sheetId="38" r:id="rId20"/>
    <sheet name="MASTER" sheetId="76" r:id="rId21"/>
  </sheets>
  <externalReferences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</externalReferences>
  <definedNames>
    <definedName name="_art21" localSheetId="2">'[1]GENERAL INFO'!$V$146</definedName>
    <definedName name="_art21" localSheetId="4">'[2]GENERAL INFO'!$V$156</definedName>
    <definedName name="_art21">'GENERAL INFO'!$V$139</definedName>
    <definedName name="_art24" localSheetId="4">'[2]OVERSEAS INCOME'!$AC$500</definedName>
    <definedName name="_art24">'[1]JAPANESE INCOME'!$AC$504</definedName>
    <definedName name="_xlnm._FilterDatabase" localSheetId="5" hidden="1">'exch.rate'!$A$5:$E$406</definedName>
    <definedName name="_xlnm._FilterDatabase" localSheetId="0" hidden="1">'GENERAL INFO'!$AD$63:$AD$65</definedName>
    <definedName name="_Occ1" localSheetId="2">'[1]GENERAL INFO'!$G$23</definedName>
    <definedName name="_Occ1" localSheetId="4">'[2]GENERAL INFO'!$G$23</definedName>
    <definedName name="_Occ1" localSheetId="5">'GENERAL INFO'!$G$18</definedName>
    <definedName name="_Occ1">'GENERAL INFO'!$G$18</definedName>
    <definedName name="_Occ10" localSheetId="2">'[1]GENERAL INFO'!$P$23</definedName>
    <definedName name="_Occ10" localSheetId="4">'[2]GENERAL INFO'!$P$23</definedName>
    <definedName name="_Occ10">'GENERAL INFO'!$P$18</definedName>
    <definedName name="_Occ11" localSheetId="2">'[1]GENERAL INFO'!$Q$23</definedName>
    <definedName name="_Occ11" localSheetId="4">'[2]GENERAL INFO'!$Q$23</definedName>
    <definedName name="_Occ11">'GENERAL INFO'!$Q$18</definedName>
    <definedName name="_Occ12" localSheetId="2">'[1]GENERAL INFO'!$R$23</definedName>
    <definedName name="_Occ12" localSheetId="4">'[2]GENERAL INFO'!$R$23</definedName>
    <definedName name="_Occ12">'GENERAL INFO'!$R$18</definedName>
    <definedName name="_Occ13" localSheetId="2">'[1]GENERAL INFO'!$S$23</definedName>
    <definedName name="_Occ13" localSheetId="4">'[2]GENERAL INFO'!$S$23</definedName>
    <definedName name="_Occ13">'GENERAL INFO'!$S$18</definedName>
    <definedName name="_Occ14" localSheetId="2">'[1]GENERAL INFO'!$T$23</definedName>
    <definedName name="_Occ14" localSheetId="4">'[2]GENERAL INFO'!$T$23</definedName>
    <definedName name="_Occ14">'GENERAL INFO'!$T$18</definedName>
    <definedName name="_Occ15" localSheetId="2">'[1]GENERAL INFO'!$U$23</definedName>
    <definedName name="_Occ15" localSheetId="4">'[2]GENERAL INFO'!$U$23</definedName>
    <definedName name="_Occ15">'GENERAL INFO'!$U$18</definedName>
    <definedName name="_Occ16" localSheetId="2">'[1]GENERAL INFO'!$V$23</definedName>
    <definedName name="_Occ16" localSheetId="4">'[2]GENERAL INFO'!$V$23</definedName>
    <definedName name="_Occ16">'GENERAL INFO'!$V$18</definedName>
    <definedName name="_Occ17" localSheetId="2">'[1]GENERAL INFO'!$W$23</definedName>
    <definedName name="_Occ17" localSheetId="4">'[2]GENERAL INFO'!$W$23</definedName>
    <definedName name="_Occ17">'GENERAL INFO'!$W$18</definedName>
    <definedName name="_Occ18" localSheetId="2">'[1]GENERAL INFO'!$X$23</definedName>
    <definedName name="_Occ18" localSheetId="4">'[2]GENERAL INFO'!$X$23</definedName>
    <definedName name="_Occ18">'GENERAL INFO'!$X$18</definedName>
    <definedName name="_Occ19" localSheetId="2">'[1]GENERAL INFO'!$Y$23</definedName>
    <definedName name="_Occ19" localSheetId="4">'[2]GENERAL INFO'!$Y$23</definedName>
    <definedName name="_Occ19">'GENERAL INFO'!$Y$18</definedName>
    <definedName name="_Occ2" localSheetId="2">'[1]GENERAL INFO'!$H$23</definedName>
    <definedName name="_Occ2" localSheetId="4">'[2]GENERAL INFO'!$H$23</definedName>
    <definedName name="_Occ2">'GENERAL INFO'!$H$18</definedName>
    <definedName name="_Occ20" localSheetId="2">'[1]GENERAL INFO'!$Z$23</definedName>
    <definedName name="_Occ20" localSheetId="4">'[2]GENERAL INFO'!$Z$23</definedName>
    <definedName name="_Occ20">'GENERAL INFO'!$Z$18</definedName>
    <definedName name="_Occ3" localSheetId="2">'[1]GENERAL INFO'!$I$23</definedName>
    <definedName name="_Occ3" localSheetId="4">'[2]GENERAL INFO'!$I$23</definedName>
    <definedName name="_Occ3">'GENERAL INFO'!$I$18</definedName>
    <definedName name="_Occ4" localSheetId="2">'[1]GENERAL INFO'!$J$23</definedName>
    <definedName name="_Occ4" localSheetId="4">'[2]GENERAL INFO'!$J$23</definedName>
    <definedName name="_Occ4">'GENERAL INFO'!$J$18</definedName>
    <definedName name="_Occ5" localSheetId="2">'[1]GENERAL INFO'!$K$23</definedName>
    <definedName name="_Occ5" localSheetId="4">'[2]GENERAL INFO'!$K$23</definedName>
    <definedName name="_Occ5">'GENERAL INFO'!$K$18</definedName>
    <definedName name="_Occ6" localSheetId="2">'[1]GENERAL INFO'!$L$23</definedName>
    <definedName name="_Occ6" localSheetId="4">'[2]GENERAL INFO'!$L$23</definedName>
    <definedName name="_Occ6">'GENERAL INFO'!$L$18</definedName>
    <definedName name="_Occ7" localSheetId="2">'[1]GENERAL INFO'!$M$23</definedName>
    <definedName name="_Occ7" localSheetId="4">'[2]GENERAL INFO'!$M$23</definedName>
    <definedName name="_Occ7">'GENERAL INFO'!$M$18</definedName>
    <definedName name="_Occ8" localSheetId="2">'[1]GENERAL INFO'!$N$23</definedName>
    <definedName name="_Occ8" localSheetId="4">'[2]GENERAL INFO'!$N$23</definedName>
    <definedName name="_Occ8">'GENERAL INFO'!$N$18</definedName>
    <definedName name="_Occ9" localSheetId="2">'[1]GENERAL INFO'!$O$23</definedName>
    <definedName name="_Occ9" localSheetId="4">'[2]GENERAL INFO'!$O$23</definedName>
    <definedName name="_Occ9">'GENERAL INFO'!$O$18</definedName>
    <definedName name="address" localSheetId="12">'[3]FE-1770 S.P1'!#REF!</definedName>
    <definedName name="address" localSheetId="17">'[3]FE-1770 S.P1'!#REF!</definedName>
    <definedName name="address" localSheetId="9">'[3]FE-1770 S.P1'!#REF!</definedName>
    <definedName name="address" localSheetId="10">'[3]FE-1770 S.P1'!#REF!</definedName>
    <definedName name="address" localSheetId="4">'[3]FE-1770 S.P1'!#REF!</definedName>
    <definedName name="address" localSheetId="5">'[3]FE-1770 S.P1'!#REF!</definedName>
    <definedName name="address">'[3]FE-1770 S.P1'!#REF!</definedName>
    <definedName name="address01" localSheetId="12">#REF!</definedName>
    <definedName name="address01" localSheetId="17">#REF!</definedName>
    <definedName name="address01" localSheetId="9">#REF!</definedName>
    <definedName name="address01" localSheetId="10">#REF!</definedName>
    <definedName name="address01" localSheetId="4">#REF!</definedName>
    <definedName name="address01" localSheetId="5">#REF!</definedName>
    <definedName name="address01">#REF!</definedName>
    <definedName name="address02" localSheetId="12">#REF!</definedName>
    <definedName name="address02" localSheetId="17">#REF!</definedName>
    <definedName name="address02" localSheetId="9">#REF!</definedName>
    <definedName name="address02" localSheetId="10">#REF!</definedName>
    <definedName name="address02" localSheetId="4">#REF!</definedName>
    <definedName name="address02" localSheetId="5">#REF!</definedName>
    <definedName name="address02">#REF!</definedName>
    <definedName name="address03" localSheetId="12">#REF!</definedName>
    <definedName name="address03" localSheetId="17">#REF!</definedName>
    <definedName name="address03" localSheetId="9">#REF!</definedName>
    <definedName name="address03" localSheetId="10">#REF!</definedName>
    <definedName name="address03" localSheetId="4">#REF!</definedName>
    <definedName name="address03" localSheetId="5">#REF!</definedName>
    <definedName name="address03">#REF!</definedName>
    <definedName name="address1">'[4]GENERAL INFO'!$G$6</definedName>
    <definedName name="address2">'[4]GENERAL INFO'!$G$7</definedName>
    <definedName name="ALH" localSheetId="2">'[1]GENERAL INFO'!$U$18</definedName>
    <definedName name="ALH" localSheetId="4">'[2]GENERAL INFO'!$U$18</definedName>
    <definedName name="ALH">'GENERAL INFO'!$U$14</definedName>
    <definedName name="AnlRegEmplIncome" localSheetId="12">#REF!</definedName>
    <definedName name="AnlRegEmplIncome" localSheetId="17">#REF!</definedName>
    <definedName name="AnlRegEmplIncome" localSheetId="9">#REF!</definedName>
    <definedName name="AnlRegEmplIncome" localSheetId="10">#REF!</definedName>
    <definedName name="AnlRegEmplIncome" localSheetId="4">#REF!</definedName>
    <definedName name="AnlRegEmplIncome" localSheetId="5">#REF!</definedName>
    <definedName name="AnlRegEmplIncome">#REF!</definedName>
    <definedName name="anndomesticnetincome" localSheetId="2">'[1]CalculationSheet'!$N$24</definedName>
    <definedName name="anndomesticnetincome" localSheetId="4">'[2]CalculationSheet'!$N$24</definedName>
    <definedName name="anndomesticnetincome" localSheetId="5">'CalculationSheet'!$N$24</definedName>
    <definedName name="anndomesticnetincome">'CalculationSheet'!$N$24</definedName>
    <definedName name="annempbonus">'CalculationSheet'!$J$22</definedName>
    <definedName name="annempincome" localSheetId="2">'[1]CalculationSheet'!$J$21</definedName>
    <definedName name="annempincome" localSheetId="4">'[2]CalculationSheet'!$J$21</definedName>
    <definedName name="annempincome" localSheetId="5">'CalculationSheet'!$J$21</definedName>
    <definedName name="annempincome">'CalculationSheet'!$J$21</definedName>
    <definedName name="annoverseasincome" localSheetId="2">'[1]CalculationSheet'!$N$25</definedName>
    <definedName name="annoverseasincome" localSheetId="4">'[2]CalculationSheet'!$N$25</definedName>
    <definedName name="annoverseasincome" localSheetId="5">'CalculationSheet'!$N$25</definedName>
    <definedName name="annoverseasincome">'CalculationSheet'!$N$25</definedName>
    <definedName name="——Art24">'JAPANESE INCOME'!$J$149</definedName>
    <definedName name="average" localSheetId="12">#REF!</definedName>
    <definedName name="average" localSheetId="17">#REF!</definedName>
    <definedName name="average" localSheetId="9">#REF!</definedName>
    <definedName name="average" localSheetId="10">#REF!</definedName>
    <definedName name="average" localSheetId="4">#REF!</definedName>
    <definedName name="average" localSheetId="5">#REF!</definedName>
    <definedName name="average">#REF!</definedName>
    <definedName name="b">'GENERAL INFO'!$J$14</definedName>
    <definedName name="balancesheets" localSheetId="12">#REF!</definedName>
    <definedName name="balancesheets" localSheetId="17">#REF!</definedName>
    <definedName name="balancesheets" localSheetId="9">#REF!</definedName>
    <definedName name="balancesheets" localSheetId="10">#REF!</definedName>
    <definedName name="balancesheets" localSheetId="4">#REF!</definedName>
    <definedName name="balancesheets" localSheetId="5">#REF!</definedName>
    <definedName name="balancesheets">#REF!</definedName>
    <definedName name="bank" localSheetId="12">#REF!</definedName>
    <definedName name="bank" localSheetId="17">#REF!</definedName>
    <definedName name="bank" localSheetId="9">#REF!</definedName>
    <definedName name="bank" localSheetId="10">#REF!</definedName>
    <definedName name="bank" localSheetId="4">#REF!</definedName>
    <definedName name="bank" localSheetId="5">#REF!</definedName>
    <definedName name="bank">#REF!</definedName>
    <definedName name="bikexpenses" localSheetId="12">#REF!</definedName>
    <definedName name="bikexpenses" localSheetId="17">#REF!</definedName>
    <definedName name="bikexpenses" localSheetId="9">#REF!</definedName>
    <definedName name="bikexpenses" localSheetId="10">#REF!</definedName>
    <definedName name="bikexpenses" localSheetId="4">#REF!</definedName>
    <definedName name="bikexpenses" localSheetId="5">#REF!</definedName>
    <definedName name="bikexpenses">#REF!</definedName>
    <definedName name="bookyear" localSheetId="12">#REF!</definedName>
    <definedName name="bookyear" localSheetId="17">#REF!</definedName>
    <definedName name="bookyear" localSheetId="9">#REF!</definedName>
    <definedName name="bookyear" localSheetId="10">#REF!</definedName>
    <definedName name="bookyear" localSheetId="4">#REF!</definedName>
    <definedName name="bookyear" localSheetId="5">#REF!</definedName>
    <definedName name="bookyear">#REF!</definedName>
    <definedName name="BusinessIncome" localSheetId="12">#REF!</definedName>
    <definedName name="BusinessIncome" localSheetId="17">#REF!</definedName>
    <definedName name="BusinessIncome" localSheetId="9">#REF!</definedName>
    <definedName name="BusinessIncome" localSheetId="10">#REF!</definedName>
    <definedName name="BusinessIncome" localSheetId="4">#REF!</definedName>
    <definedName name="BusinessIncome" localSheetId="5">#REF!</definedName>
    <definedName name="BusinessIncome">#REF!</definedName>
    <definedName name="businesstype" localSheetId="12">#REF!</definedName>
    <definedName name="businesstype" localSheetId="17">#REF!</definedName>
    <definedName name="businesstype" localSheetId="9">#REF!</definedName>
    <definedName name="businesstype" localSheetId="10">#REF!</definedName>
    <definedName name="businesstype" localSheetId="4">#REF!</definedName>
    <definedName name="businesstype" localSheetId="5">#REF!</definedName>
    <definedName name="businesstype">#REF!</definedName>
    <definedName name="calendar" localSheetId="12">#REF!</definedName>
    <definedName name="calendar" localSheetId="17">#REF!</definedName>
    <definedName name="calendar" localSheetId="9">#REF!</definedName>
    <definedName name="calendar" localSheetId="10">#REF!</definedName>
    <definedName name="calendar" localSheetId="4">#REF!</definedName>
    <definedName name="calendar" localSheetId="5">#REF!</definedName>
    <definedName name="calendar">#REF!</definedName>
    <definedName name="cash" localSheetId="17">#REF!</definedName>
    <definedName name="cash" localSheetId="9">#REF!</definedName>
    <definedName name="cash" localSheetId="10">#REF!</definedName>
    <definedName name="cash" localSheetId="4">#REF!</definedName>
    <definedName name="Cash" localSheetId="5">'A &amp; L INFO'!$O$8</definedName>
    <definedName name="Cash">'A &amp; L INFO'!$O$8</definedName>
    <definedName name="CheckingAccoint" localSheetId="5">'A &amp; L INFO'!$O$10</definedName>
    <definedName name="CheckingAccoint">'A &amp; L INFO'!$O$10</definedName>
    <definedName name="city">'[4]GENERAL INFO'!$G$8</definedName>
    <definedName name="COGS" localSheetId="12">#REF!</definedName>
    <definedName name="COGS" localSheetId="17">#REF!</definedName>
    <definedName name="COGS" localSheetId="9">#REF!</definedName>
    <definedName name="COGS" localSheetId="10">#REF!</definedName>
    <definedName name="COGS" localSheetId="4">#REF!</definedName>
    <definedName name="COGS" localSheetId="5">#REF!</definedName>
    <definedName name="COGS">#REF!</definedName>
    <definedName name="companyofficer" localSheetId="12">#REF!</definedName>
    <definedName name="companyofficer" localSheetId="17">#REF!</definedName>
    <definedName name="companyofficer" localSheetId="9">#REF!</definedName>
    <definedName name="companyofficer" localSheetId="10">#REF!</definedName>
    <definedName name="companyofficer" localSheetId="4">#REF!</definedName>
    <definedName name="companyofficer" localSheetId="5">#REF!</definedName>
    <definedName name="companyofficer">#REF!</definedName>
    <definedName name="computer" localSheetId="12">#REF!</definedName>
    <definedName name="computer" localSheetId="17">#REF!</definedName>
    <definedName name="computer" localSheetId="9">#REF!</definedName>
    <definedName name="computer" localSheetId="10">#REF!</definedName>
    <definedName name="computer" localSheetId="4">#REF!</definedName>
    <definedName name="computer" localSheetId="5">#REF!</definedName>
    <definedName name="computer">#REF!</definedName>
    <definedName name="cooperation" localSheetId="12">#REF!</definedName>
    <definedName name="cooperation" localSheetId="17">#REF!</definedName>
    <definedName name="cooperation" localSheetId="9">#REF!</definedName>
    <definedName name="cooperation" localSheetId="10">#REF!</definedName>
    <definedName name="cooperation" localSheetId="4">#REF!</definedName>
    <definedName name="cooperation" localSheetId="5">#REF!</definedName>
    <definedName name="cooperation">#REF!</definedName>
    <definedName name="_xlnm.Criteria" localSheetId="0">'GENERAL INFO'!$AD$63:$AD$65</definedName>
    <definedName name="Data">'[5]GENERAL INFO'!$S$17</definedName>
    <definedName name="Data_JP">'[5]GENERAL INFO'!$Q$17</definedName>
    <definedName name="dateofdeparture" localSheetId="2">'[1]GENERAL INFO'!$F$42</definedName>
    <definedName name="dateofdeparture" localSheetId="4">'[2]GENERAL INFO'!$F$42</definedName>
    <definedName name="dateofdeparture" localSheetId="5">'GENERAL INFO'!$F$33</definedName>
    <definedName name="dateofdeparture">'GENERAL INFO'!$F$33</definedName>
    <definedName name="dbm" localSheetId="12">#REF!</definedName>
    <definedName name="dbm" localSheetId="17">#REF!</definedName>
    <definedName name="dbm" localSheetId="9">#REF!</definedName>
    <definedName name="dbm" localSheetId="10">#REF!</definedName>
    <definedName name="dbm" localSheetId="4">#REF!</definedName>
    <definedName name="dbm" localSheetId="5">#REF!</definedName>
    <definedName name="dbm">#REF!</definedName>
    <definedName name="DEPENDENT" localSheetId="2">'[1]GENERAL INFO'!$F$74</definedName>
    <definedName name="DEPENDENT" localSheetId="4">'[2]GENERAL INFO'!$F$74</definedName>
    <definedName name="DEPENDENT" localSheetId="5">'GENERAL INFO'!$F$65</definedName>
    <definedName name="DEPENDENT">'GENERAL INFO'!$F$65</definedName>
    <definedName name="depreciation" localSheetId="12">#REF!</definedName>
    <definedName name="depreciation" localSheetId="17">#REF!</definedName>
    <definedName name="depreciation" localSheetId="9">#REF!</definedName>
    <definedName name="depreciation" localSheetId="10">#REF!</definedName>
    <definedName name="depreciation" localSheetId="4">#REF!</definedName>
    <definedName name="depreciation" localSheetId="5">#REF!</definedName>
    <definedName name="depreciation">#REF!</definedName>
    <definedName name="depreciationcalculation" localSheetId="12">#REF!</definedName>
    <definedName name="depreciationcalculation" localSheetId="17">#REF!</definedName>
    <definedName name="depreciationcalculation" localSheetId="9">#REF!</definedName>
    <definedName name="depreciationcalculation" localSheetId="10">#REF!</definedName>
    <definedName name="depreciationcalculation" localSheetId="4">#REF!</definedName>
    <definedName name="depreciationcalculation" localSheetId="5">#REF!</definedName>
    <definedName name="depreciationcalculation">#REF!</definedName>
    <definedName name="dividend" localSheetId="12">#REF!</definedName>
    <definedName name="dividend" localSheetId="17">#REF!</definedName>
    <definedName name="dividend" localSheetId="9">#REF!</definedName>
    <definedName name="dividend" localSheetId="10">#REF!</definedName>
    <definedName name="dividend" localSheetId="4">#REF!</definedName>
    <definedName name="dividend" localSheetId="5">#REF!</definedName>
    <definedName name="dividend">#REF!</definedName>
    <definedName name="DO">'[6]Family'!$J$5</definedName>
    <definedName name="emp_taxID1" localSheetId="2">'[1]GENERAL INFO'!$G$120</definedName>
    <definedName name="emp_taxID1" localSheetId="4">'[2]GENERAL INFO'!$G$120</definedName>
    <definedName name="emp_taxID1" localSheetId="5">'GENERAL INFO'!$G$111</definedName>
    <definedName name="emp_taxID1">'GENERAL INFO'!$G$111</definedName>
    <definedName name="emp_taxID2" localSheetId="2">'[1]GENERAL INFO'!$L$120</definedName>
    <definedName name="emp_taxID2" localSheetId="4">'[2]GENERAL INFO'!$L$120</definedName>
    <definedName name="emp_taxID2" localSheetId="5">'GENERAL INFO'!$L$111</definedName>
    <definedName name="emp_taxID2">'GENERAL INFO'!$L$111</definedName>
    <definedName name="emp_taxID3" localSheetId="2">'[1]GENERAL INFO'!$Q$120</definedName>
    <definedName name="emp_taxID3" localSheetId="4">'[2]GENERAL INFO'!$Q$120</definedName>
    <definedName name="emp_taxID3" localSheetId="5">'GENERAL INFO'!$Q$111</definedName>
    <definedName name="emp_taxID3">'GENERAL INFO'!$Q$111</definedName>
    <definedName name="empbonus" localSheetId="2">'[1]GENERAL INFO'!$V$133</definedName>
    <definedName name="empbonus" localSheetId="4">'[2]GENERAL INFO'!$V$133</definedName>
    <definedName name="empbonus" localSheetId="5">'GENERAL INFO'!$V$124</definedName>
    <definedName name="empbonus">'GENERAL INFO'!$V$124</definedName>
    <definedName name="employer1" localSheetId="2">'[1]GENERAL INFO'!$G$119</definedName>
    <definedName name="employer1" localSheetId="4">'[2]GENERAL INFO'!$G$119</definedName>
    <definedName name="employer1" localSheetId="5">'GENERAL INFO'!$G$110</definedName>
    <definedName name="employer1">'GENERAL INFO'!$G$110</definedName>
    <definedName name="employer1ded" localSheetId="12">'[1]GENERAL INFO'!#REF!</definedName>
    <definedName name="employer1ded" localSheetId="17">'[1]GENERAL INFO'!#REF!</definedName>
    <definedName name="employer1ded" localSheetId="9">'[1]GENERAL INFO'!#REF!</definedName>
    <definedName name="employer1ded" localSheetId="10">'[1]GENERAL INFO'!#REF!</definedName>
    <definedName name="employer1ded" localSheetId="4">'[2]GENERAL INFO'!#REF!</definedName>
    <definedName name="employer1ded" localSheetId="5">'[1]GENERAL INFO'!#REF!</definedName>
    <definedName name="employer1ded">'[1]GENERAL INFO'!#REF!</definedName>
    <definedName name="employer1gros" localSheetId="12">'[1]GENERAL INFO'!#REF!</definedName>
    <definedName name="employer1gros" localSheetId="17">'[1]GENERAL INFO'!#REF!</definedName>
    <definedName name="employer1gros" localSheetId="9">'[1]GENERAL INFO'!#REF!</definedName>
    <definedName name="employer1gros" localSheetId="10">'[1]GENERAL INFO'!#REF!</definedName>
    <definedName name="employer1gros" localSheetId="4">'[2]GENERAL INFO'!#REF!</definedName>
    <definedName name="employer1gros" localSheetId="5">'[1]GENERAL INFO'!#REF!</definedName>
    <definedName name="employer1gros">'[1]GENERAL INFO'!#REF!</definedName>
    <definedName name="employer1net" localSheetId="12">'[1]GENERAL INFO'!#REF!</definedName>
    <definedName name="employer1net" localSheetId="17">'[1]GENERAL INFO'!#REF!</definedName>
    <definedName name="employer1net" localSheetId="9">'[1]GENERAL INFO'!#REF!</definedName>
    <definedName name="employer1net" localSheetId="10">'[1]GENERAL INFO'!#REF!</definedName>
    <definedName name="employer1net" localSheetId="4">'[2]GENERAL INFO'!#REF!</definedName>
    <definedName name="employer1net" localSheetId="5">'[1]GENERAL INFO'!#REF!</definedName>
    <definedName name="employer1net">'[1]GENERAL INFO'!#REF!</definedName>
    <definedName name="employer1npwp" localSheetId="12">'[1]GENERAL INFO'!#REF!</definedName>
    <definedName name="employer1npwp" localSheetId="17">'[1]GENERAL INFO'!#REF!</definedName>
    <definedName name="employer1npwp" localSheetId="9">'[1]GENERAL INFO'!#REF!</definedName>
    <definedName name="employer1npwp" localSheetId="10">'[1]GENERAL INFO'!#REF!</definedName>
    <definedName name="employer1npwp" localSheetId="4">'[2]GENERAL INFO'!#REF!</definedName>
    <definedName name="employer1npwp" localSheetId="5">'[1]GENERAL INFO'!#REF!</definedName>
    <definedName name="employer1npwp">'[1]GENERAL INFO'!#REF!</definedName>
    <definedName name="employer1wht" localSheetId="12">'[1]GENERAL INFO'!#REF!</definedName>
    <definedName name="employer1wht" localSheetId="17">'[1]GENERAL INFO'!#REF!</definedName>
    <definedName name="employer1wht" localSheetId="9">'[1]GENERAL INFO'!#REF!</definedName>
    <definedName name="employer1wht" localSheetId="10">'[1]GENERAL INFO'!#REF!</definedName>
    <definedName name="employer1wht" localSheetId="4">'[2]GENERAL INFO'!#REF!</definedName>
    <definedName name="employer1wht">'[1]GENERAL INFO'!#REF!</definedName>
    <definedName name="employer1whtdate" localSheetId="12">'[1]GENERAL INFO'!#REF!</definedName>
    <definedName name="employer1whtdate" localSheetId="17">'[1]GENERAL INFO'!#REF!</definedName>
    <definedName name="employer1whtdate" localSheetId="9">'[1]GENERAL INFO'!#REF!</definedName>
    <definedName name="employer1whtdate" localSheetId="10">'[1]GENERAL INFO'!#REF!</definedName>
    <definedName name="employer1whtdate" localSheetId="4">'[2]GENERAL INFO'!#REF!</definedName>
    <definedName name="employer1whtdate">'[1]GENERAL INFO'!#REF!</definedName>
    <definedName name="employer1whtno" localSheetId="12">'[1]GENERAL INFO'!#REF!</definedName>
    <definedName name="employer1whtno" localSheetId="17">'[1]GENERAL INFO'!#REF!</definedName>
    <definedName name="employer1whtno" localSheetId="9">'[1]GENERAL INFO'!#REF!</definedName>
    <definedName name="employer1whtno" localSheetId="10">'[1]GENERAL INFO'!#REF!</definedName>
    <definedName name="employer1whtno" localSheetId="4">'[2]GENERAL INFO'!#REF!</definedName>
    <definedName name="employer1whtno">'[1]GENERAL INFO'!#REF!</definedName>
    <definedName name="employer2" localSheetId="2">'[1]GENERAL INFO'!$L$119</definedName>
    <definedName name="employer2" localSheetId="4">'[2]GENERAL INFO'!$L$119</definedName>
    <definedName name="employer2" localSheetId="5">'GENERAL INFO'!$L$110</definedName>
    <definedName name="employer2">'GENERAL INFO'!$L$110</definedName>
    <definedName name="employer2ded" localSheetId="12">'[1]GENERAL INFO'!#REF!</definedName>
    <definedName name="employer2ded" localSheetId="17">'[1]GENERAL INFO'!#REF!</definedName>
    <definedName name="employer2ded" localSheetId="9">'[1]GENERAL INFO'!#REF!</definedName>
    <definedName name="employer2ded" localSheetId="10">'[1]GENERAL INFO'!#REF!</definedName>
    <definedName name="employer2ded" localSheetId="4">'[2]GENERAL INFO'!#REF!</definedName>
    <definedName name="employer2ded" localSheetId="5">'[1]GENERAL INFO'!#REF!</definedName>
    <definedName name="employer2ded">'[1]GENERAL INFO'!#REF!</definedName>
    <definedName name="employer2gross" localSheetId="12">'[1]GENERAL INFO'!#REF!</definedName>
    <definedName name="employer2gross" localSheetId="17">'[1]GENERAL INFO'!#REF!</definedName>
    <definedName name="employer2gross" localSheetId="9">'[1]GENERAL INFO'!#REF!</definedName>
    <definedName name="employer2gross" localSheetId="10">'[1]GENERAL INFO'!#REF!</definedName>
    <definedName name="employer2gross" localSheetId="4">'[2]GENERAL INFO'!#REF!</definedName>
    <definedName name="employer2gross" localSheetId="5">'[1]GENERAL INFO'!#REF!</definedName>
    <definedName name="employer2gross">'[1]GENERAL INFO'!#REF!</definedName>
    <definedName name="employer2net" localSheetId="12">'[1]GENERAL INFO'!#REF!</definedName>
    <definedName name="employer2net" localSheetId="17">'[1]GENERAL INFO'!#REF!</definedName>
    <definedName name="employer2net" localSheetId="9">'[1]GENERAL INFO'!#REF!</definedName>
    <definedName name="employer2net" localSheetId="10">'[1]GENERAL INFO'!#REF!</definedName>
    <definedName name="employer2net" localSheetId="4">'[2]GENERAL INFO'!#REF!</definedName>
    <definedName name="employer2net" localSheetId="5">'[1]GENERAL INFO'!#REF!</definedName>
    <definedName name="employer2net">'[1]GENERAL INFO'!#REF!</definedName>
    <definedName name="employer2npwp" localSheetId="12">'[1]GENERAL INFO'!#REF!</definedName>
    <definedName name="employer2npwp" localSheetId="17">'[1]GENERAL INFO'!#REF!</definedName>
    <definedName name="employer2npwp" localSheetId="9">'[1]GENERAL INFO'!#REF!</definedName>
    <definedName name="employer2npwp" localSheetId="10">'[1]GENERAL INFO'!#REF!</definedName>
    <definedName name="employer2npwp" localSheetId="4">'[2]GENERAL INFO'!#REF!</definedName>
    <definedName name="employer2npwp" localSheetId="5">'[1]GENERAL INFO'!#REF!</definedName>
    <definedName name="employer2npwp">'[1]GENERAL INFO'!#REF!</definedName>
    <definedName name="employer2wht" localSheetId="12">'[1]GENERAL INFO'!#REF!</definedName>
    <definedName name="employer2wht" localSheetId="17">'[1]GENERAL INFO'!#REF!</definedName>
    <definedName name="employer2wht" localSheetId="9">'[1]GENERAL INFO'!#REF!</definedName>
    <definedName name="employer2wht" localSheetId="10">'[1]GENERAL INFO'!#REF!</definedName>
    <definedName name="employer2wht" localSheetId="4">'[2]GENERAL INFO'!#REF!</definedName>
    <definedName name="employer2wht">'[1]GENERAL INFO'!#REF!</definedName>
    <definedName name="employer2whtdate" localSheetId="12">'[1]GENERAL INFO'!#REF!</definedName>
    <definedName name="employer2whtdate" localSheetId="17">'[1]GENERAL INFO'!#REF!</definedName>
    <definedName name="employer2whtdate" localSheetId="9">'[1]GENERAL INFO'!#REF!</definedName>
    <definedName name="employer2whtdate" localSheetId="10">'[1]GENERAL INFO'!#REF!</definedName>
    <definedName name="employer2whtdate" localSheetId="4">'[2]GENERAL INFO'!#REF!</definedName>
    <definedName name="employer2whtdate">'[1]GENERAL INFO'!#REF!</definedName>
    <definedName name="employer2whtno" localSheetId="12">'[1]GENERAL INFO'!#REF!</definedName>
    <definedName name="employer2whtno" localSheetId="17">'[1]GENERAL INFO'!#REF!</definedName>
    <definedName name="employer2whtno" localSheetId="9">'[1]GENERAL INFO'!#REF!</definedName>
    <definedName name="employer2whtno" localSheetId="10">'[1]GENERAL INFO'!#REF!</definedName>
    <definedName name="employer2whtno" localSheetId="4">'[2]GENERAL INFO'!#REF!</definedName>
    <definedName name="employer2whtno">'[1]GENERAL INFO'!#REF!</definedName>
    <definedName name="employer3" localSheetId="2">'[1]GENERAL INFO'!$Q$119</definedName>
    <definedName name="employer3" localSheetId="4">'[2]GENERAL INFO'!$Q$119</definedName>
    <definedName name="employer3" localSheetId="5">'GENERAL INFO'!$Q$110</definedName>
    <definedName name="employer3">'GENERAL INFO'!$Q$110</definedName>
    <definedName name="employer3ded" localSheetId="12">'[1]GENERAL INFO'!#REF!</definedName>
    <definedName name="employer3ded" localSheetId="17">'[1]GENERAL INFO'!#REF!</definedName>
    <definedName name="employer3ded" localSheetId="9">'[1]GENERAL INFO'!#REF!</definedName>
    <definedName name="employer3ded" localSheetId="10">'[1]GENERAL INFO'!#REF!</definedName>
    <definedName name="employer3ded" localSheetId="4">'[2]GENERAL INFO'!#REF!</definedName>
    <definedName name="employer3ded" localSheetId="5">'[1]GENERAL INFO'!#REF!</definedName>
    <definedName name="employer3ded">'[1]GENERAL INFO'!#REF!</definedName>
    <definedName name="employer3gross" localSheetId="12">'[1]GENERAL INFO'!#REF!</definedName>
    <definedName name="employer3gross" localSheetId="17">'[1]GENERAL INFO'!#REF!</definedName>
    <definedName name="employer3gross" localSheetId="9">'[1]GENERAL INFO'!#REF!</definedName>
    <definedName name="employer3gross" localSheetId="10">'[1]GENERAL INFO'!#REF!</definedName>
    <definedName name="employer3gross" localSheetId="4">'[2]GENERAL INFO'!#REF!</definedName>
    <definedName name="employer3gross" localSheetId="5">'[1]GENERAL INFO'!#REF!</definedName>
    <definedName name="employer3gross">'[1]GENERAL INFO'!#REF!</definedName>
    <definedName name="employer3net" localSheetId="12">'[1]GENERAL INFO'!#REF!</definedName>
    <definedName name="employer3net" localSheetId="17">'[1]GENERAL INFO'!#REF!</definedName>
    <definedName name="employer3net" localSheetId="9">'[1]GENERAL INFO'!#REF!</definedName>
    <definedName name="employer3net" localSheetId="10">'[1]GENERAL INFO'!#REF!</definedName>
    <definedName name="employer3net" localSheetId="4">'[2]GENERAL INFO'!#REF!</definedName>
    <definedName name="employer3net" localSheetId="5">'[1]GENERAL INFO'!#REF!</definedName>
    <definedName name="employer3net">'[1]GENERAL INFO'!#REF!</definedName>
    <definedName name="employer3npwp" localSheetId="12">'[1]GENERAL INFO'!#REF!</definedName>
    <definedName name="employer3npwp" localSheetId="17">'[1]GENERAL INFO'!#REF!</definedName>
    <definedName name="employer3npwp" localSheetId="9">'[1]GENERAL INFO'!#REF!</definedName>
    <definedName name="employer3npwp" localSheetId="10">'[1]GENERAL INFO'!#REF!</definedName>
    <definedName name="employer3npwp" localSheetId="4">'[2]GENERAL INFO'!#REF!</definedName>
    <definedName name="employer3npwp" localSheetId="5">'[1]GENERAL INFO'!#REF!</definedName>
    <definedName name="employer3npwp">'[1]GENERAL INFO'!#REF!</definedName>
    <definedName name="employer3wht" localSheetId="12">'[1]GENERAL INFO'!#REF!</definedName>
    <definedName name="employer3wht" localSheetId="17">'[1]GENERAL INFO'!#REF!</definedName>
    <definedName name="employer3wht" localSheetId="9">'[1]GENERAL INFO'!#REF!</definedName>
    <definedName name="employer3wht" localSheetId="10">'[1]GENERAL INFO'!#REF!</definedName>
    <definedName name="employer3wht" localSheetId="4">'[2]GENERAL INFO'!#REF!</definedName>
    <definedName name="employer3wht">'[1]GENERAL INFO'!#REF!</definedName>
    <definedName name="employer3whtdate" localSheetId="12">'[1]GENERAL INFO'!#REF!</definedName>
    <definedName name="employer3whtdate" localSheetId="17">'[1]GENERAL INFO'!#REF!</definedName>
    <definedName name="employer3whtdate" localSheetId="9">'[1]GENERAL INFO'!#REF!</definedName>
    <definedName name="employer3whtdate" localSheetId="10">'[1]GENERAL INFO'!#REF!</definedName>
    <definedName name="employer3whtdate" localSheetId="4">'[2]GENERAL INFO'!#REF!</definedName>
    <definedName name="employer3whtdate">'[1]GENERAL INFO'!#REF!</definedName>
    <definedName name="employer3whtno" localSheetId="12">'[1]GENERAL INFO'!#REF!</definedName>
    <definedName name="employer3whtno" localSheetId="17">'[1]GENERAL INFO'!#REF!</definedName>
    <definedName name="employer3whtno" localSheetId="9">'[1]GENERAL INFO'!#REF!</definedName>
    <definedName name="employer3whtno" localSheetId="10">'[1]GENERAL INFO'!#REF!</definedName>
    <definedName name="employer3whtno" localSheetId="4">'[2]GENERAL INFO'!#REF!</definedName>
    <definedName name="employer3whtno">'[1]GENERAL INFO'!#REF!</definedName>
    <definedName name="EmploymentBonus">'[7]FE-1770-I'!$Y$56</definedName>
    <definedName name="endyear" localSheetId="12">#REF!</definedName>
    <definedName name="endyear" localSheetId="17">#REF!</definedName>
    <definedName name="endyear" localSheetId="9">#REF!</definedName>
    <definedName name="endyear" localSheetId="10">#REF!</definedName>
    <definedName name="endyear" localSheetId="4">#REF!</definedName>
    <definedName name="endyear" localSheetId="5">#REF!</definedName>
    <definedName name="endyear">#REF!</definedName>
    <definedName name="english" localSheetId="12">#REF!</definedName>
    <definedName name="english" localSheetId="17">#REF!</definedName>
    <definedName name="english" localSheetId="9">#REF!</definedName>
    <definedName name="english" localSheetId="10">#REF!</definedName>
    <definedName name="english" localSheetId="4">#REF!</definedName>
    <definedName name="english" localSheetId="5">#REF!</definedName>
    <definedName name="english">#REF!</definedName>
    <definedName name="exittax" localSheetId="12">'[1]GENERAL INFO'!#REF!</definedName>
    <definedName name="exittax" localSheetId="17">'[1]GENERAL INFO'!#REF!</definedName>
    <definedName name="exittax" localSheetId="9">'[1]GENERAL INFO'!#REF!</definedName>
    <definedName name="exittax" localSheetId="10">'[1]GENERAL INFO'!#REF!</definedName>
    <definedName name="exittax" localSheetId="4">'[2]GENERAL INFO'!#REF!</definedName>
    <definedName name="exittax" localSheetId="5">'[1]GENERAL INFO'!#REF!</definedName>
    <definedName name="exittax">'[1]GENERAL INFO'!#REF!</definedName>
    <definedName name="exittaxtotal" localSheetId="12">#REF!</definedName>
    <definedName name="exittaxtotal" localSheetId="17">#REF!</definedName>
    <definedName name="exittaxtotal" localSheetId="9">#REF!</definedName>
    <definedName name="exittaxtotal" localSheetId="10">#REF!</definedName>
    <definedName name="exittaxtotal" localSheetId="4">#REF!</definedName>
    <definedName name="exittaxtotal" localSheetId="5">#REF!</definedName>
    <definedName name="exittaxtotal">#REF!</definedName>
    <definedName name="_xlnm.Extract" localSheetId="0">'GENERAL INFO'!$V$64</definedName>
    <definedName name="faxno" localSheetId="12">'[1]GENERAL INFO'!#REF!</definedName>
    <definedName name="faxno" localSheetId="17">'[1]GENERAL INFO'!#REF!</definedName>
    <definedName name="faxno" localSheetId="9">'[1]GENERAL INFO'!#REF!</definedName>
    <definedName name="faxno" localSheetId="10">'[1]GENERAL INFO'!#REF!</definedName>
    <definedName name="faxno" localSheetId="4">'[2]GENERAL INFO'!#REF!</definedName>
    <definedName name="faxno" localSheetId="5">'[1]GENERAL INFO'!#REF!</definedName>
    <definedName name="faxno">'[1]GENERAL INFO'!#REF!</definedName>
    <definedName name="faxNo01" localSheetId="5">'GENERAL INFO'!$G$22</definedName>
    <definedName name="faxNo01">'GENERAL INFO'!$G$22</definedName>
    <definedName name="faxNo02" localSheetId="5">'GENERAL INFO'!$K$22</definedName>
    <definedName name="faxNo02">'GENERAL INFO'!$K$22</definedName>
    <definedName name="fifo" localSheetId="12">#REF!</definedName>
    <definedName name="fifo" localSheetId="17">#REF!</definedName>
    <definedName name="fifo" localSheetId="9">#REF!</definedName>
    <definedName name="fifo" localSheetId="10">#REF!</definedName>
    <definedName name="fifo" localSheetId="4">#REF!</definedName>
    <definedName name="fifo" localSheetId="5">#REF!</definedName>
    <definedName name="fifo">#REF!</definedName>
    <definedName name="fiscalprofits" localSheetId="12">#REF!</definedName>
    <definedName name="fiscalprofits" localSheetId="17">#REF!</definedName>
    <definedName name="fiscalprofits" localSheetId="9">#REF!</definedName>
    <definedName name="fiscalprofits" localSheetId="10">#REF!</definedName>
    <definedName name="fiscalprofits" localSheetId="4">#REF!</definedName>
    <definedName name="fiscalprofits" localSheetId="5">#REF!</definedName>
    <definedName name="fiscalprofits">#REF!</definedName>
    <definedName name="foundation" localSheetId="12">#REF!</definedName>
    <definedName name="foundation" localSheetId="17">#REF!</definedName>
    <definedName name="foundation" localSheetId="9">#REF!</definedName>
    <definedName name="foundation" localSheetId="10">#REF!</definedName>
    <definedName name="foundation" localSheetId="4">#REF!</definedName>
    <definedName name="foundation" localSheetId="5">#REF!</definedName>
    <definedName name="foundation">#REF!</definedName>
    <definedName name="fxrate" localSheetId="12">#REF!</definedName>
    <definedName name="fxrate" localSheetId="17">#REF!</definedName>
    <definedName name="fxrate" localSheetId="9">#REF!</definedName>
    <definedName name="fxrate" localSheetId="10">#REF!</definedName>
    <definedName name="fxrate" localSheetId="4">#REF!</definedName>
    <definedName name="fxrate" localSheetId="5">#REF!</definedName>
    <definedName name="fxrate">#REF!</definedName>
    <definedName name="gains" localSheetId="12">#REF!</definedName>
    <definedName name="gains" localSheetId="17">#REF!</definedName>
    <definedName name="gains" localSheetId="9">#REF!</definedName>
    <definedName name="gains" localSheetId="10">#REF!</definedName>
    <definedName name="gains" localSheetId="4">#REF!</definedName>
    <definedName name="gains" localSheetId="5">#REF!</definedName>
    <definedName name="gains">#REF!</definedName>
    <definedName name="gilliland" localSheetId="12">'[8]FE-1770 S.P1'!#REF!</definedName>
    <definedName name="gilliland" localSheetId="17">'[8]FE-1770 S.P1'!#REF!</definedName>
    <definedName name="gilliland" localSheetId="9">'[8]FE-1770 S.P1'!#REF!</definedName>
    <definedName name="gilliland" localSheetId="10">'[8]FE-1770 S.P1'!#REF!</definedName>
    <definedName name="gilliland" localSheetId="4">'[8]FE-1770 S.P1'!#REF!</definedName>
    <definedName name="gilliland" localSheetId="5">'[8]FE-1770 S.P1'!#REF!</definedName>
    <definedName name="gilliland">'[8]FE-1770 S.P1'!#REF!</definedName>
    <definedName name="homeaddress" localSheetId="12">#REF!</definedName>
    <definedName name="homeaddress" localSheetId="17">#REF!</definedName>
    <definedName name="homeaddress" localSheetId="9">#REF!</definedName>
    <definedName name="homeaddress" localSheetId="10">#REF!</definedName>
    <definedName name="homeaddress" localSheetId="4">#REF!</definedName>
    <definedName name="homeaddress" localSheetId="5">#REF!</definedName>
    <definedName name="homeaddress">#REF!</definedName>
    <definedName name="homephone" localSheetId="12">#REF!</definedName>
    <definedName name="homephone" localSheetId="17">#REF!</definedName>
    <definedName name="homephone" localSheetId="9">#REF!</definedName>
    <definedName name="homephone" localSheetId="10">#REF!</definedName>
    <definedName name="homephone" localSheetId="4">#REF!</definedName>
    <definedName name="homephone" localSheetId="5">#REF!</definedName>
    <definedName name="homephone">#REF!</definedName>
    <definedName name="hphoneno" localSheetId="12">'[1]GENERAL INFO'!#REF!</definedName>
    <definedName name="hphoneno" localSheetId="17">'[1]GENERAL INFO'!#REF!</definedName>
    <definedName name="hphoneno" localSheetId="9">'[1]GENERAL INFO'!#REF!</definedName>
    <definedName name="hphoneno" localSheetId="10">'[1]GENERAL INFO'!#REF!</definedName>
    <definedName name="hphoneno" localSheetId="4">'[2]GENERAL INFO'!#REF!</definedName>
    <definedName name="hphoneno" localSheetId="5">'[1]GENERAL INFO'!#REF!</definedName>
    <definedName name="hphoneno">'[1]GENERAL INFO'!#REF!</definedName>
    <definedName name="ika">'[8]FE-1770 S.P1'!$M$24</definedName>
    <definedName name="iktisarcabang" localSheetId="12">#REF!</definedName>
    <definedName name="iktisarcabang" localSheetId="17">#REF!</definedName>
    <definedName name="iktisarcabang" localSheetId="9">#REF!</definedName>
    <definedName name="iktisarcabang" localSheetId="10">#REF!</definedName>
    <definedName name="iktisarcabang" localSheetId="4">#REF!</definedName>
    <definedName name="iktisarcabang" localSheetId="5">#REF!</definedName>
    <definedName name="iktisarcabang">#REF!</definedName>
    <definedName name="iktisarpemegangsaham" localSheetId="12">#REF!</definedName>
    <definedName name="iktisarpemegangsaham" localSheetId="17">#REF!</definedName>
    <definedName name="iktisarpemegangsaham" localSheetId="9">#REF!</definedName>
    <definedName name="iktisarpemegangsaham" localSheetId="10">#REF!</definedName>
    <definedName name="iktisarpemegangsaham" localSheetId="4">#REF!</definedName>
    <definedName name="iktisarpemegangsaham" localSheetId="5">#REF!</definedName>
    <definedName name="iktisarpemegangsaham">#REF!</definedName>
    <definedName name="iktisarpenerima" localSheetId="12">#REF!</definedName>
    <definedName name="iktisarpenerima" localSheetId="17">#REF!</definedName>
    <definedName name="iktisarpenerima" localSheetId="9">#REF!</definedName>
    <definedName name="iktisarpenerima" localSheetId="10">#REF!</definedName>
    <definedName name="iktisarpenerima" localSheetId="4">#REF!</definedName>
    <definedName name="iktisarpenerima" localSheetId="5">#REF!</definedName>
    <definedName name="iktisarpenerima">#REF!</definedName>
    <definedName name="iktisarpengurus" localSheetId="12">#REF!</definedName>
    <definedName name="iktisarpengurus" localSheetId="17">#REF!</definedName>
    <definedName name="iktisarpengurus" localSheetId="9">#REF!</definedName>
    <definedName name="iktisarpengurus" localSheetId="10">#REF!</definedName>
    <definedName name="iktisarpengurus" localSheetId="4">#REF!</definedName>
    <definedName name="iktisarpengurus" localSheetId="5">#REF!</definedName>
    <definedName name="iktisarpengurus">#REF!</definedName>
    <definedName name="iktisarpph22" localSheetId="12">#REF!</definedName>
    <definedName name="iktisarpph22" localSheetId="17">#REF!</definedName>
    <definedName name="iktisarpph22" localSheetId="9">#REF!</definedName>
    <definedName name="iktisarpph22" localSheetId="10">#REF!</definedName>
    <definedName name="iktisarpph22" localSheetId="4">#REF!</definedName>
    <definedName name="iktisarpph22" localSheetId="5">#REF!</definedName>
    <definedName name="iktisarpph22">#REF!</definedName>
    <definedName name="iktisarpph23" localSheetId="12">#REF!</definedName>
    <definedName name="iktisarpph23" localSheetId="17">#REF!</definedName>
    <definedName name="iktisarpph23" localSheetId="9">#REF!</definedName>
    <definedName name="iktisarpph23" localSheetId="10">#REF!</definedName>
    <definedName name="iktisarpph23" localSheetId="4">#REF!</definedName>
    <definedName name="iktisarpph23" localSheetId="5">#REF!</definedName>
    <definedName name="iktisarpph23">#REF!</definedName>
    <definedName name="iktisarpph24" localSheetId="12">#REF!</definedName>
    <definedName name="iktisarpph24" localSheetId="17">#REF!</definedName>
    <definedName name="iktisarpph24" localSheetId="9">#REF!</definedName>
    <definedName name="iktisarpph24" localSheetId="10">#REF!</definedName>
    <definedName name="iktisarpph24" localSheetId="4">#REF!</definedName>
    <definedName name="iktisarpph24" localSheetId="5">#REF!</definedName>
    <definedName name="iktisarpph24">#REF!</definedName>
    <definedName name="iktisarpph25" localSheetId="12">#REF!</definedName>
    <definedName name="iktisarpph25" localSheetId="17">#REF!</definedName>
    <definedName name="iktisarpph25" localSheetId="9">#REF!</definedName>
    <definedName name="iktisarpph25" localSheetId="10">#REF!</definedName>
    <definedName name="iktisarpph25" localSheetId="4">#REF!</definedName>
    <definedName name="iktisarpph25" localSheetId="5">#REF!</definedName>
    <definedName name="iktisarpph25">#REF!</definedName>
    <definedName name="iktisarpphgvb" localSheetId="12">#REF!</definedName>
    <definedName name="iktisarpphgvb" localSheetId="17">#REF!</definedName>
    <definedName name="iktisarpphgvb" localSheetId="9">#REF!</definedName>
    <definedName name="iktisarpphgvb" localSheetId="10">#REF!</definedName>
    <definedName name="iktisarpphgvb" localSheetId="4">#REF!</definedName>
    <definedName name="iktisarpphgvb" localSheetId="5">#REF!</definedName>
    <definedName name="iktisarpphgvb">#REF!</definedName>
    <definedName name="inboundincomes" localSheetId="12">#REF!</definedName>
    <definedName name="inboundincomes" localSheetId="8">#REF!</definedName>
    <definedName name="inboundincomes" localSheetId="17">#REF!</definedName>
    <definedName name="inboundincomes" localSheetId="9">#REF!</definedName>
    <definedName name="inboundincomes" localSheetId="10">#REF!</definedName>
    <definedName name="inboundincomes" localSheetId="13">#REF!</definedName>
    <definedName name="inboundincomes" localSheetId="4">#REF!</definedName>
    <definedName name="inboundincomes" localSheetId="5">#REF!</definedName>
    <definedName name="inboundincomes">#REF!</definedName>
    <definedName name="indonesian" localSheetId="12">#REF!</definedName>
    <definedName name="indonesian" localSheetId="8">#REF!</definedName>
    <definedName name="indonesian" localSheetId="17">#REF!</definedName>
    <definedName name="indonesian" localSheetId="9">#REF!</definedName>
    <definedName name="indonesian" localSheetId="10">#REF!</definedName>
    <definedName name="indonesian" localSheetId="13">#REF!</definedName>
    <definedName name="indonesian" localSheetId="4">#REF!</definedName>
    <definedName name="indonesian" localSheetId="5">#REF!</definedName>
    <definedName name="indonesian">#REF!</definedName>
    <definedName name="industry" localSheetId="12">#REF!</definedName>
    <definedName name="industry" localSheetId="8">#REF!</definedName>
    <definedName name="industry" localSheetId="17">#REF!</definedName>
    <definedName name="industry" localSheetId="9">#REF!</definedName>
    <definedName name="industry" localSheetId="10">#REF!</definedName>
    <definedName name="industry" localSheetId="13">#REF!</definedName>
    <definedName name="industry" localSheetId="4">#REF!</definedName>
    <definedName name="industry" localSheetId="5">#REF!</definedName>
    <definedName name="industry">#REF!</definedName>
    <definedName name="instalmentnextyear" localSheetId="12">#REF!</definedName>
    <definedName name="instalmentnextyear" localSheetId="17">#REF!</definedName>
    <definedName name="instalmentnextyear" localSheetId="9">#REF!</definedName>
    <definedName name="instalmentnextyear" localSheetId="10">#REF!</definedName>
    <definedName name="instalmentnextyear" localSheetId="4">#REF!</definedName>
    <definedName name="instalmentnextyear" localSheetId="5">#REF!</definedName>
    <definedName name="instalmentnextyear">#REF!</definedName>
    <definedName name="interest" localSheetId="12">#REF!</definedName>
    <definedName name="interest" localSheetId="17">#REF!</definedName>
    <definedName name="interest" localSheetId="9">#REF!</definedName>
    <definedName name="interest" localSheetId="10">#REF!</definedName>
    <definedName name="interest" localSheetId="4">#REF!</definedName>
    <definedName name="interest" localSheetId="5">#REF!</definedName>
    <definedName name="interest">#REF!</definedName>
    <definedName name="investmentfund" localSheetId="12">#REF!</definedName>
    <definedName name="investmentfund" localSheetId="17">#REF!</definedName>
    <definedName name="investmentfund" localSheetId="9">#REF!</definedName>
    <definedName name="investmentfund" localSheetId="10">#REF!</definedName>
    <definedName name="investmentfund" localSheetId="4">#REF!</definedName>
    <definedName name="investmentfund" localSheetId="5">#REF!</definedName>
    <definedName name="investmentfund">#REF!</definedName>
    <definedName name="irrc" localSheetId="12">#REF!</definedName>
    <definedName name="irrc" localSheetId="17">#REF!</definedName>
    <definedName name="irrc" localSheetId="9">#REF!</definedName>
    <definedName name="irrc" localSheetId="10">#REF!</definedName>
    <definedName name="irrc" localSheetId="4">#REF!</definedName>
    <definedName name="irrc" localSheetId="5">#REF!</definedName>
    <definedName name="irrc">#REF!</definedName>
    <definedName name="irregulardomesticincome" localSheetId="2">'[1]GENERAL INFO'!$V$168</definedName>
    <definedName name="irregulardomesticincome" localSheetId="4">'[2]GENERAL INFO'!$V$174</definedName>
    <definedName name="irregulardomesticincome" localSheetId="5">'GENERAL INFO'!$V$165</definedName>
    <definedName name="irregulardomesticincome">'GENERAL INFO'!$V$165</definedName>
    <definedName name="irregularincome" localSheetId="12">#REF!</definedName>
    <definedName name="irregularincome" localSheetId="17">#REF!</definedName>
    <definedName name="irregularincome" localSheetId="9">#REF!</definedName>
    <definedName name="irregularincome" localSheetId="10">#REF!</definedName>
    <definedName name="irregularincome" localSheetId="13">'Attachment JP'!#REF!</definedName>
    <definedName name="irregularincome" localSheetId="5">#REF!</definedName>
    <definedName name="irregularincome">#REF!</definedName>
    <definedName name="irregularoverseasincome" localSheetId="2">'[9]OVERSEAS INCOME'!$G$104</definedName>
    <definedName name="irregularoverseasincome" localSheetId="4">'[9]OVERSEAS INCOME'!$G$104</definedName>
    <definedName name="irregularoverseasincome" localSheetId="5">'JAPANESE INCOME'!#REF!</definedName>
    <definedName name="irregularoverseasincome">'JAPANESE INCOME'!$H$163</definedName>
    <definedName name="irregulartaxcredit" localSheetId="12">'JAPANESE INCOME'!#REF!</definedName>
    <definedName name="irregulartaxcredit" localSheetId="17">'JAPANESE INCOME'!#REF!</definedName>
    <definedName name="irregulartaxcredit" localSheetId="9">'JAPANESE INCOME'!#REF!</definedName>
    <definedName name="irregulartaxcredit" localSheetId="10">'JAPANESE INCOME'!#REF!</definedName>
    <definedName name="irregulartaxcredit" localSheetId="2">'[1]JAPANESE INCOME'!$V$474</definedName>
    <definedName name="irregulartaxcredit" localSheetId="4">'[2]OVERSEAS INCOME'!#REF!</definedName>
    <definedName name="irregulartaxcredit" localSheetId="5">'JAPANESE INCOME'!#REF!</definedName>
    <definedName name="irregulartaxcredit">'JAPANESE INCOME'!#REF!</definedName>
    <definedName name="Japallowance1_idr" localSheetId="4">'[10]JAPANESE INCOME'!$H$67</definedName>
    <definedName name="Japallowance1_idr" localSheetId="5">'JAPANESE INCOME'!$I$70</definedName>
    <definedName name="Japallowance1_idr">'JAPANESE INCOME'!$I$70</definedName>
    <definedName name="Japallowance1_ori" localSheetId="4">'[10]JAPANESE INCOME'!$F$67</definedName>
    <definedName name="Japallowance1_ori" localSheetId="5">'JAPANESE INCOME'!$F$70</definedName>
    <definedName name="Japallowance1_ori">'JAPANESE INCOME'!$F$70</definedName>
    <definedName name="Japallowance2_idr" localSheetId="5">'JAPANESE INCOME'!$I$93</definedName>
    <definedName name="Japallowance2_idr">'JAPANESE INCOME'!$I$93</definedName>
    <definedName name="Japallowance2_ori" localSheetId="5">'JAPANESE INCOME'!$F$93</definedName>
    <definedName name="Japallowance2_ori">'JAPANESE INCOME'!$F$93</definedName>
    <definedName name="JapanBonus" localSheetId="2">'[9]OVERSEAS INCOME'!$H$44</definedName>
    <definedName name="JapanBonus" localSheetId="4">'[9]OVERSEAS INCOME'!$H$44</definedName>
    <definedName name="JapanBonus" localSheetId="5">'JAPANESE INCOME'!$I$108</definedName>
    <definedName name="JapanBonus">'JAPANESE INCOME'!$I$108</definedName>
    <definedName name="Japbonus_idr" localSheetId="5">'JAPANESE INCOME'!#REF!</definedName>
    <definedName name="Japbonus_idr">'JAPANESE INCOME'!$I$108</definedName>
    <definedName name="Japbonus_ori" localSheetId="4">'[10]JAPANESE INCOME'!$F$103</definedName>
    <definedName name="Japbonus_ori" localSheetId="5">'JAPANESE INCOME'!$F$108</definedName>
    <definedName name="Japbonus_ori">'JAPANESE INCOME'!$F$108</definedName>
    <definedName name="Japsalary1_idr" localSheetId="4">'[10]JAPANESE INCOME'!$H$23</definedName>
    <definedName name="Japsalary1_idr" localSheetId="5">'JAPANESE INCOME'!$I$24</definedName>
    <definedName name="Japsalary1_idr">'JAPANESE INCOME'!$I$24</definedName>
    <definedName name="Japsalary1_ori" localSheetId="4">'[10]JAPANESE INCOME'!$F$23</definedName>
    <definedName name="Japsalary1_ori" localSheetId="5">'JAPANESE INCOME'!$F$24</definedName>
    <definedName name="Japsalary1_ori">'JAPANESE INCOME'!$F$24</definedName>
    <definedName name="Japsalary2_idr" localSheetId="5">'JAPANESE INCOME'!$I$47</definedName>
    <definedName name="Japsalary2_idr">'JAPANESE INCOME'!$I$47</definedName>
    <definedName name="Japsalary2_ori" localSheetId="5">'JAPANESE INCOME'!$F$47</definedName>
    <definedName name="Japsalary2_ori">'JAPANESE INCOME'!$F$47</definedName>
    <definedName name="Japtaxallowance_idr" localSheetId="5">'JAPANESE INCOME'!$H$132</definedName>
    <definedName name="Japtaxallowance_idr">'JAPANESE INCOME'!$H$132</definedName>
    <definedName name="Japtaxallowance_ori" localSheetId="5">'JAPANESE INCOME'!$F$132</definedName>
    <definedName name="Japtaxallowance_ori">'JAPANESE INCOME'!$F$132</definedName>
    <definedName name="MARITAL" localSheetId="2">'[1]GENERAL INFO'!$F$73</definedName>
    <definedName name="MARITAL" localSheetId="4">'[2]GENERAL INFO'!$F$73</definedName>
    <definedName name="MARITAL" localSheetId="5">'GENERAL INFO'!$F$64</definedName>
    <definedName name="MARITAL">'GENERAL INFO'!$F$64</definedName>
    <definedName name="name" localSheetId="2">'[1]GENERAL INFO'!$AD$19</definedName>
    <definedName name="name" localSheetId="4">'[2]GENERAL INFO'!$AD$19</definedName>
    <definedName name="name" localSheetId="5">'GENERAL INFO'!$AD$15</definedName>
    <definedName name="name">'GENERAL INFO'!$AD$15</definedName>
    <definedName name="name01" localSheetId="2">'[1]GENERAL INFO'!$G$20</definedName>
    <definedName name="name01" localSheetId="4">'[2]GENERAL INFO'!$G$20</definedName>
    <definedName name="name01" localSheetId="5">'GENERAL INFO'!$G$16</definedName>
    <definedName name="name01">'GENERAL INFO'!$G$16</definedName>
    <definedName name="name01a" localSheetId="12">'GENERAL INFO'!#REF!</definedName>
    <definedName name="name01a" localSheetId="9">'GENERAL INFO'!#REF!</definedName>
    <definedName name="name01a" localSheetId="5">'GENERAL INFO'!#REF!</definedName>
    <definedName name="name01a">'GENERAL INFO'!#REF!</definedName>
    <definedName name="name02" localSheetId="2">'[1]GENERAL INFO'!$H$20</definedName>
    <definedName name="name02" localSheetId="4">'[2]GENERAL INFO'!$H$20</definedName>
    <definedName name="name02">'GENERAL INFO'!$H$16</definedName>
    <definedName name="name03" localSheetId="2">'[1]GENERAL INFO'!$I$20</definedName>
    <definedName name="name03" localSheetId="4">'[2]GENERAL INFO'!$I$20</definedName>
    <definedName name="name03">'GENERAL INFO'!$I$16</definedName>
    <definedName name="name04" localSheetId="2">'[1]GENERAL INFO'!$J$20</definedName>
    <definedName name="name04" localSheetId="4">'[2]GENERAL INFO'!$J$20</definedName>
    <definedName name="name04">'GENERAL INFO'!$J$16</definedName>
    <definedName name="name05" localSheetId="2">'[1]GENERAL INFO'!$K$20</definedName>
    <definedName name="name05" localSheetId="4">'[2]GENERAL INFO'!$K$20</definedName>
    <definedName name="name05">'GENERAL INFO'!$K$16</definedName>
    <definedName name="name06" localSheetId="2">'[1]GENERAL INFO'!$L$20</definedName>
    <definedName name="name06" localSheetId="4">'[2]GENERAL INFO'!$L$20</definedName>
    <definedName name="name06">'GENERAL INFO'!$L$16</definedName>
    <definedName name="name07" localSheetId="2">'[1]GENERAL INFO'!$M$20</definedName>
    <definedName name="name07" localSheetId="4">'[2]GENERAL INFO'!$M$20</definedName>
    <definedName name="name07">'GENERAL INFO'!$M$16</definedName>
    <definedName name="name08" localSheetId="2">'[1]GENERAL INFO'!$N$20</definedName>
    <definedName name="name08" localSheetId="4">'[2]GENERAL INFO'!$N$20</definedName>
    <definedName name="name08">'GENERAL INFO'!$N$16</definedName>
    <definedName name="name09" localSheetId="2">'[1]GENERAL INFO'!$O$20</definedName>
    <definedName name="name09" localSheetId="4">'[2]GENERAL INFO'!$O$20</definedName>
    <definedName name="name09">'GENERAL INFO'!$O$16</definedName>
    <definedName name="name10" localSheetId="2">'[1]GENERAL INFO'!$P$20</definedName>
    <definedName name="name10" localSheetId="4">'[2]GENERAL INFO'!$P$20</definedName>
    <definedName name="name10">'GENERAL INFO'!$P$16</definedName>
    <definedName name="name11" localSheetId="2">'[1]GENERAL INFO'!$Q$20</definedName>
    <definedName name="name11" localSheetId="4">'[2]GENERAL INFO'!$Q$20</definedName>
    <definedName name="name11">'GENERAL INFO'!$Q$16</definedName>
    <definedName name="name12" localSheetId="2">'[1]GENERAL INFO'!$R$20</definedName>
    <definedName name="name12" localSheetId="4">'[2]GENERAL INFO'!$R$20</definedName>
    <definedName name="name12">'GENERAL INFO'!$R$16</definedName>
    <definedName name="name13" localSheetId="2">'[1]GENERAL INFO'!$S$20</definedName>
    <definedName name="name13" localSheetId="4">'[2]GENERAL INFO'!$S$20</definedName>
    <definedName name="name13">'GENERAL INFO'!$S$16</definedName>
    <definedName name="name14" localSheetId="2">'[1]GENERAL INFO'!$T$20</definedName>
    <definedName name="name14" localSheetId="4">'[2]GENERAL INFO'!$T$20</definedName>
    <definedName name="name14">'GENERAL INFO'!$T$16</definedName>
    <definedName name="name15" localSheetId="2">'[1]GENERAL INFO'!$U$20</definedName>
    <definedName name="name15" localSheetId="4">'[2]GENERAL INFO'!$U$20</definedName>
    <definedName name="name15">'GENERAL INFO'!$U$16</definedName>
    <definedName name="name16" localSheetId="2">'[1]GENERAL INFO'!$V$20</definedName>
    <definedName name="name16" localSheetId="4">'[2]GENERAL INFO'!$V$20</definedName>
    <definedName name="name16">'GENERAL INFO'!$V$16</definedName>
    <definedName name="name17" localSheetId="2">'[1]GENERAL INFO'!$W$20</definedName>
    <definedName name="name17" localSheetId="4">'[2]GENERAL INFO'!$W$20</definedName>
    <definedName name="name17">'GENERAL INFO'!$W$16</definedName>
    <definedName name="name18" localSheetId="2">'[1]GENERAL INFO'!$X$20</definedName>
    <definedName name="name18" localSheetId="4">'[2]GENERAL INFO'!$X$20</definedName>
    <definedName name="name18">'GENERAL INFO'!$X$16</definedName>
    <definedName name="name19" localSheetId="2">'[1]GENERAL INFO'!$Y$20</definedName>
    <definedName name="name19" localSheetId="4">'[2]GENERAL INFO'!$Y$20</definedName>
    <definedName name="name19">'GENERAL INFO'!$Y$16</definedName>
    <definedName name="name20" localSheetId="2">'[1]GENERAL INFO'!$Z$20</definedName>
    <definedName name="name20" localSheetId="4">'[2]GENERAL INFO'!$Z$20</definedName>
    <definedName name="name20">'GENERAL INFO'!$Z$16</definedName>
    <definedName name="name21" localSheetId="2">'[1]GENERAL INFO'!$G$21</definedName>
    <definedName name="name21" localSheetId="4">'[2]GENERAL INFO'!$G$21</definedName>
    <definedName name="name21">'GENERAL INFO'!$G$17</definedName>
    <definedName name="name22" localSheetId="2">'[1]GENERAL INFO'!$H$21</definedName>
    <definedName name="name22" localSheetId="4">'[2]GENERAL INFO'!$H$21</definedName>
    <definedName name="name22">'GENERAL INFO'!$H$17</definedName>
    <definedName name="name23" localSheetId="2">'[1]GENERAL INFO'!$I$21</definedName>
    <definedName name="name23" localSheetId="4">'[2]GENERAL INFO'!$I$21</definedName>
    <definedName name="name23">'GENERAL INFO'!$I$17</definedName>
    <definedName name="name24" localSheetId="2">'[1]GENERAL INFO'!$J$21</definedName>
    <definedName name="name24" localSheetId="4">'[2]GENERAL INFO'!$J$21</definedName>
    <definedName name="name24">'GENERAL INFO'!$J$17</definedName>
    <definedName name="name25" localSheetId="2">'[1]GENERAL INFO'!$K$21</definedName>
    <definedName name="name25" localSheetId="4">'[2]GENERAL INFO'!$K$21</definedName>
    <definedName name="name25">'GENERAL INFO'!$K$17</definedName>
    <definedName name="name26" localSheetId="2">'[1]GENERAL INFO'!$L$21</definedName>
    <definedName name="name26" localSheetId="4">'[2]GENERAL INFO'!$L$21</definedName>
    <definedName name="name26">'GENERAL INFO'!$L$17</definedName>
    <definedName name="name27" localSheetId="2">'[1]GENERAL INFO'!$M$21</definedName>
    <definedName name="name27" localSheetId="4">'[2]GENERAL INFO'!$M$21</definedName>
    <definedName name="name27">'GENERAL INFO'!$M$17</definedName>
    <definedName name="name28" localSheetId="2">'[1]GENERAL INFO'!$N$21</definedName>
    <definedName name="name28" localSheetId="4">'[2]GENERAL INFO'!$N$21</definedName>
    <definedName name="name28">'GENERAL INFO'!$N$17</definedName>
    <definedName name="name29" localSheetId="2">'[1]GENERAL INFO'!$O$21</definedName>
    <definedName name="name29" localSheetId="4">'[2]GENERAL INFO'!$O$21</definedName>
    <definedName name="name29">'GENERAL INFO'!$O$17</definedName>
    <definedName name="name30" localSheetId="2">'[1]GENERAL INFO'!$P$21</definedName>
    <definedName name="name30" localSheetId="4">'[2]GENERAL INFO'!$P$21</definedName>
    <definedName name="name30" localSheetId="5">'GENERAL INFO'!$P$17</definedName>
    <definedName name="name30">'GENERAL INFO'!$P$17</definedName>
    <definedName name="name31" localSheetId="2">'[1]GENERAL INFO'!$Q$21</definedName>
    <definedName name="name31" localSheetId="4">'[2]GENERAL INFO'!$Q$21</definedName>
    <definedName name="name31" localSheetId="5">'GENERAL INFO'!$Q$17</definedName>
    <definedName name="name31">'GENERAL INFO'!$Q$17</definedName>
    <definedName name="name32" localSheetId="2">'[1]GENERAL INFO'!$R$21</definedName>
    <definedName name="name32" localSheetId="4">'[2]GENERAL INFO'!$R$21</definedName>
    <definedName name="name32" localSheetId="5">'GENERAL INFO'!$R$17</definedName>
    <definedName name="name32">'GENERAL INFO'!$R$17</definedName>
    <definedName name="name33">'GENERAL INFO'!$S$17</definedName>
    <definedName name="name34">'GENERAL INFO'!$T$17</definedName>
    <definedName name="name35">'GENERAL INFO'!$U$17</definedName>
    <definedName name="name36">'GENERAL INFO'!$V$17</definedName>
    <definedName name="name37">'GENERAL INFO'!$W$17</definedName>
    <definedName name="name38">'GENERAL INFO'!$X$17</definedName>
    <definedName name="name39">'GENERAL INFO'!$Y$17</definedName>
    <definedName name="name40">'GENERAL INFO'!$Z$17</definedName>
    <definedName name="netdomesticincome" localSheetId="2">'[1]GENERAL INFO'!$V$166</definedName>
    <definedName name="netdomesticincome" localSheetId="4">'[2]GENERAL INFO'!$V$172</definedName>
    <definedName name="netdomesticincome" localSheetId="5">'GENERAL INFO'!$V$163</definedName>
    <definedName name="netdomesticincome">'GENERAL INFO'!$V$163</definedName>
    <definedName name="netempincome" localSheetId="2">'[1]GENERAL INFO'!$V$142</definedName>
    <definedName name="netempincome" localSheetId="4">'[2]GENERAL INFO'!$V$142</definedName>
    <definedName name="netempincome" localSheetId="5">'GENERAL INFO'!$V$133</definedName>
    <definedName name="netempincome">'GENERAL INFO'!$V$133</definedName>
    <definedName name="npwp" localSheetId="2">'[1]GENERAL INFO'!$AD$18</definedName>
    <definedName name="npwp" localSheetId="4">'[2]GENERAL INFO'!$AD$18</definedName>
    <definedName name="npwp" localSheetId="5">'GENERAL INFO'!$AD$14</definedName>
    <definedName name="npwp">'GENERAL INFO'!$AD$14</definedName>
    <definedName name="npwp01" localSheetId="2">'[1]GENERAL INFO'!$G$18</definedName>
    <definedName name="npwp01" localSheetId="4">'[2]GENERAL INFO'!$G$18</definedName>
    <definedName name="npwp01" localSheetId="5">'GENERAL INFO'!$G$14</definedName>
    <definedName name="npwp01">'GENERAL INFO'!$G$14</definedName>
    <definedName name="npwp02" localSheetId="2">'[1]GENERAL INFO'!$H$18</definedName>
    <definedName name="npwp02" localSheetId="4">'[2]GENERAL INFO'!$H$18</definedName>
    <definedName name="npwp02">'GENERAL INFO'!$H$14</definedName>
    <definedName name="npwp03" localSheetId="2">'[1]GENERAL INFO'!$J$18</definedName>
    <definedName name="npwp03" localSheetId="4">'[2]GENERAL INFO'!$J$18</definedName>
    <definedName name="npwp03">'GENERAL INFO'!$J$14</definedName>
    <definedName name="npwp04" localSheetId="2">'[1]GENERAL INFO'!$K$18</definedName>
    <definedName name="npwp04" localSheetId="4">'[2]GENERAL INFO'!$K$18</definedName>
    <definedName name="npwp04">'GENERAL INFO'!$K$14</definedName>
    <definedName name="npwp05" localSheetId="2">'[1]GENERAL INFO'!$L$18</definedName>
    <definedName name="npwp05" localSheetId="4">'[2]GENERAL INFO'!$L$18</definedName>
    <definedName name="npwp05">'GENERAL INFO'!$L$14</definedName>
    <definedName name="npwp06" localSheetId="2">'[1]GENERAL INFO'!$N$18</definedName>
    <definedName name="npwp06" localSheetId="4">'[2]GENERAL INFO'!$N$18</definedName>
    <definedName name="npwp06">'GENERAL INFO'!$N$14</definedName>
    <definedName name="npwp07" localSheetId="2">'[1]GENERAL INFO'!$O$18</definedName>
    <definedName name="npwp07" localSheetId="4">'[2]GENERAL INFO'!$O$18</definedName>
    <definedName name="npwp07">'GENERAL INFO'!$O$14</definedName>
    <definedName name="npwp08" localSheetId="2">'[1]GENERAL INFO'!$P$18</definedName>
    <definedName name="npwp08" localSheetId="4">'[2]GENERAL INFO'!$P$18</definedName>
    <definedName name="npwp08">'GENERAL INFO'!$P$14</definedName>
    <definedName name="npwp09" localSheetId="2">'[1]GENERAL INFO'!$R$18</definedName>
    <definedName name="npwp09" localSheetId="4">'[2]GENERAL INFO'!$R$18</definedName>
    <definedName name="npwp09">'GENERAL INFO'!$R$14</definedName>
    <definedName name="npwp1">'[6]FE-1770.P1'!$L$18</definedName>
    <definedName name="npwp10" localSheetId="2">'[1]GENERAL INFO'!$T$18</definedName>
    <definedName name="npwp10" localSheetId="4">'[2]GENERAL INFO'!$T$18</definedName>
    <definedName name="npwp10">'GENERAL INFO'!$T$14</definedName>
    <definedName name="npwp11" localSheetId="2">'[1]GENERAL INFO'!$U$18</definedName>
    <definedName name="npwp11" localSheetId="4">'[2]GENERAL INFO'!$U$18</definedName>
    <definedName name="npwp11">'GENERAL INFO'!$U$14</definedName>
    <definedName name="npwp12" localSheetId="2">'[1]GENERAL INFO'!$V$18</definedName>
    <definedName name="npwp12" localSheetId="4">'[2]GENERAL INFO'!$V$18</definedName>
    <definedName name="npwp12">'GENERAL INFO'!$V$14</definedName>
    <definedName name="npwp13" localSheetId="2">'[1]GENERAL INFO'!$X$18</definedName>
    <definedName name="npwp13" localSheetId="4">'[2]GENERAL INFO'!$X$18</definedName>
    <definedName name="npwp13">'GENERAL INFO'!$X$14</definedName>
    <definedName name="npwp14" localSheetId="2">'[1]GENERAL INFO'!$Y$18</definedName>
    <definedName name="npwp14" localSheetId="4">'[2]GENERAL INFO'!$Y$18</definedName>
    <definedName name="npwp14">'GENERAL INFO'!$Y$14</definedName>
    <definedName name="npwp15" localSheetId="2">'[1]GENERAL INFO'!$Z$18</definedName>
    <definedName name="npwp15" localSheetId="4">'[2]GENERAL INFO'!$Z$18</definedName>
    <definedName name="npwp15">'GENERAL INFO'!$Z$14</definedName>
    <definedName name="o">'GENERAL INFO'!$G$14</definedName>
    <definedName name="occupation" localSheetId="12">'[1]GENERAL INFO'!#REF!</definedName>
    <definedName name="occupation" localSheetId="17">'[1]GENERAL INFO'!#REF!</definedName>
    <definedName name="occupation" localSheetId="9">'[1]GENERAL INFO'!#REF!</definedName>
    <definedName name="occupation" localSheetId="10">'[1]GENERAL INFO'!#REF!</definedName>
    <definedName name="occupation" localSheetId="4">'[2]GENERAL INFO'!#REF!</definedName>
    <definedName name="occupation" localSheetId="5">'[1]GENERAL INFO'!#REF!</definedName>
    <definedName name="occupation">'[1]GENERAL INFO'!#REF!</definedName>
    <definedName name="officeaddress" localSheetId="12">'[1]GENERAL INFO'!#REF!</definedName>
    <definedName name="officeaddress" localSheetId="17">'[1]GENERAL INFO'!#REF!</definedName>
    <definedName name="officeaddress" localSheetId="9">'[1]GENERAL INFO'!#REF!</definedName>
    <definedName name="officeaddress" localSheetId="10">'[1]GENERAL INFO'!#REF!</definedName>
    <definedName name="officeaddress" localSheetId="4">'[2]GENERAL INFO'!#REF!</definedName>
    <definedName name="officeaddress" localSheetId="5">'[1]GENERAL INFO'!#REF!</definedName>
    <definedName name="officeaddress">'[1]GENERAL INFO'!#REF!</definedName>
    <definedName name="officephone" localSheetId="12">#REF!</definedName>
    <definedName name="officephone" localSheetId="17">#REF!</definedName>
    <definedName name="officephone" localSheetId="9">#REF!</definedName>
    <definedName name="officephone" localSheetId="10">#REF!</definedName>
    <definedName name="officephone" localSheetId="4">#REF!</definedName>
    <definedName name="officephone" localSheetId="5">#REF!</definedName>
    <definedName name="officephone">#REF!</definedName>
    <definedName name="offset" localSheetId="12">#REF!</definedName>
    <definedName name="offset" localSheetId="17">#REF!</definedName>
    <definedName name="offset" localSheetId="9">#REF!</definedName>
    <definedName name="offset" localSheetId="10">#REF!</definedName>
    <definedName name="offset" localSheetId="4">#REF!</definedName>
    <definedName name="offset" localSheetId="5">#REF!</definedName>
    <definedName name="offset">#REF!</definedName>
    <definedName name="OtherCash" localSheetId="5">'A &amp; L INFO'!$O$12</definedName>
    <definedName name="OtherCash">'A &amp; L INFO'!$O$12</definedName>
    <definedName name="otherexpenses" localSheetId="12">#REF!</definedName>
    <definedName name="otherexpenses" localSheetId="17">#REF!</definedName>
    <definedName name="otherexpenses" localSheetId="9">#REF!</definedName>
    <definedName name="otherexpenses" localSheetId="10">#REF!</definedName>
    <definedName name="otherexpenses" localSheetId="4">#REF!</definedName>
    <definedName name="otherexpenses" localSheetId="5">#REF!</definedName>
    <definedName name="otherexpenses">#REF!</definedName>
    <definedName name="OtherIncome">'[7]FE-1770-I'!$X$98</definedName>
    <definedName name="otherincomes" localSheetId="12">#REF!</definedName>
    <definedName name="otherincomes" localSheetId="17">#REF!</definedName>
    <definedName name="otherincomes" localSheetId="9">#REF!</definedName>
    <definedName name="otherincomes" localSheetId="10">#REF!</definedName>
    <definedName name="otherincomes" localSheetId="4">#REF!</definedName>
    <definedName name="otherincomes" localSheetId="5">#REF!</definedName>
    <definedName name="otherincomes">#REF!</definedName>
    <definedName name="others" localSheetId="12">#REF!</definedName>
    <definedName name="others" localSheetId="17">#REF!</definedName>
    <definedName name="others" localSheetId="9">#REF!</definedName>
    <definedName name="others" localSheetId="10">#REF!</definedName>
    <definedName name="others" localSheetId="4">#REF!</definedName>
    <definedName name="others" localSheetId="5">#REF!</definedName>
    <definedName name="others">#REF!</definedName>
    <definedName name="othertype" localSheetId="12">#REF!</definedName>
    <definedName name="othertype" localSheetId="17">#REF!</definedName>
    <definedName name="othertype" localSheetId="9">#REF!</definedName>
    <definedName name="othertype" localSheetId="10">#REF!</definedName>
    <definedName name="othertype" localSheetId="4">#REF!</definedName>
    <definedName name="othertype" localSheetId="5">#REF!</definedName>
    <definedName name="othertype">#REF!</definedName>
    <definedName name="outboundincomes" localSheetId="12">#REF!</definedName>
    <definedName name="outboundincomes" localSheetId="17">#REF!</definedName>
    <definedName name="outboundincomes" localSheetId="9">#REF!</definedName>
    <definedName name="outboundincomes" localSheetId="10">#REF!</definedName>
    <definedName name="outboundincomes" localSheetId="4">#REF!</definedName>
    <definedName name="outboundincomes" localSheetId="5">#REF!</definedName>
    <definedName name="outboundincomes">#REF!</definedName>
    <definedName name="OutboundNetIncome" localSheetId="12">'[3]FE-1770 S-I'!#REF!</definedName>
    <definedName name="OutboundNetIncome" localSheetId="17">'[3]FE-1770 S-I'!#REF!</definedName>
    <definedName name="OutboundNetIncome" localSheetId="9">'[3]FE-1770 S-I'!#REF!</definedName>
    <definedName name="OutboundNetIncome" localSheetId="10">'[3]FE-1770 S-I'!#REF!</definedName>
    <definedName name="OutboundNetIncome" localSheetId="4">'[3]FE-1770 S-I'!#REF!</definedName>
    <definedName name="OutboundNetIncome" localSheetId="5">'[3]FE-1770 S-I'!#REF!</definedName>
    <definedName name="OutboundNetIncome">'[3]FE-1770 S-I'!#REF!</definedName>
    <definedName name="overpaidtax" localSheetId="12">#REF!</definedName>
    <definedName name="overpaidtax" localSheetId="17">#REF!</definedName>
    <definedName name="overpaidtax" localSheetId="9">#REF!</definedName>
    <definedName name="overpaidtax" localSheetId="10">#REF!</definedName>
    <definedName name="overpaidtax" localSheetId="4">#REF!</definedName>
    <definedName name="overpaidtax" localSheetId="5">#REF!</definedName>
    <definedName name="overpaidtax">#REF!</definedName>
    <definedName name="paymentdatepph29" localSheetId="12">#REF!</definedName>
    <definedName name="paymentdatepph29" localSheetId="17">#REF!</definedName>
    <definedName name="paymentdatepph29" localSheetId="9">#REF!</definedName>
    <definedName name="paymentdatepph29" localSheetId="10">#REF!</definedName>
    <definedName name="paymentdatepph29" localSheetId="4">#REF!</definedName>
    <definedName name="paymentdatepph29" localSheetId="5">#REF!</definedName>
    <definedName name="paymentdatepph29">#REF!</definedName>
    <definedName name="pensionfund" localSheetId="12">#REF!</definedName>
    <definedName name="pensionfund" localSheetId="17">#REF!</definedName>
    <definedName name="pensionfund" localSheetId="9">#REF!</definedName>
    <definedName name="pensionfund" localSheetId="10">#REF!</definedName>
    <definedName name="pensionfund" localSheetId="4">#REF!</definedName>
    <definedName name="pensionfund" localSheetId="5">#REF!</definedName>
    <definedName name="pensionfund">#REF!</definedName>
    <definedName name="personalreliefs" localSheetId="2">'[1]GENERAL INFO'!$F$75</definedName>
    <definedName name="personalreliefs" localSheetId="4">'[2]GENERAL INFO'!$F$75</definedName>
    <definedName name="personalreliefs" localSheetId="5">'GENERAL INFO'!$F$66</definedName>
    <definedName name="personalreliefs">'GENERAL INFO'!$F$66</definedName>
    <definedName name="personnelcost" localSheetId="12">#REF!</definedName>
    <definedName name="personnelcost" localSheetId="17">#REF!</definedName>
    <definedName name="personnelcost" localSheetId="9">#REF!</definedName>
    <definedName name="personnelcost" localSheetId="10">#REF!</definedName>
    <definedName name="personnelcost" localSheetId="4">#REF!</definedName>
    <definedName name="personnelcost" localSheetId="5">#REF!</definedName>
    <definedName name="personnelcost">#REF!</definedName>
    <definedName name="phone01" localSheetId="5">'GENERAL INFO'!$G$20</definedName>
    <definedName name="phone01">'GENERAL INFO'!$G$20</definedName>
    <definedName name="phone02" localSheetId="5">'GENERAL INFO'!$K$20</definedName>
    <definedName name="phone02">'GENERAL INFO'!$K$20</definedName>
    <definedName name="phoneno" localSheetId="12">'[1]GENERAL INFO'!#REF!</definedName>
    <definedName name="phoneno" localSheetId="17">'[1]GENERAL INFO'!#REF!</definedName>
    <definedName name="phoneno" localSheetId="9">'[1]GENERAL INFO'!#REF!</definedName>
    <definedName name="phoneno" localSheetId="10">'[1]GENERAL INFO'!#REF!</definedName>
    <definedName name="phoneno" localSheetId="4">'[2]GENERAL INFO'!#REF!</definedName>
    <definedName name="phoneno" localSheetId="5">'[1]GENERAL INFO'!#REF!</definedName>
    <definedName name="phoneno">'[1]GENERAL INFO'!#REF!</definedName>
    <definedName name="postcode">'GENERAL INFO'!$Q$22</definedName>
    <definedName name="postcode1">'[11]GENERAL INFO'!$Q$8</definedName>
    <definedName name="postcode2">'[11]GENERAL INFO'!$R$8</definedName>
    <definedName name="postcode3">'[11]GENERAL INFO'!$S$8</definedName>
    <definedName name="postcode4">'[11]GENERAL INFO'!$T$8</definedName>
    <definedName name="postcode5">'[11]GENERAL INFO'!$U$8</definedName>
    <definedName name="PPh21total" localSheetId="12">'[3]FE-1770 S-I'!#REF!</definedName>
    <definedName name="PPh21total" localSheetId="17">'[3]FE-1770 S-I'!#REF!</definedName>
    <definedName name="PPh21total" localSheetId="9">'[3]FE-1770 S-I'!#REF!</definedName>
    <definedName name="PPh21total" localSheetId="10">'[3]FE-1770 S-I'!#REF!</definedName>
    <definedName name="PPh21total" localSheetId="4">'[3]FE-1770 S-I'!#REF!</definedName>
    <definedName name="PPh21total" localSheetId="5">'[3]FE-1770 S-I'!#REF!</definedName>
    <definedName name="PPh21total">'[3]FE-1770 S-I'!#REF!</definedName>
    <definedName name="PPh22total" localSheetId="12">#REF!</definedName>
    <definedName name="PPh22total" localSheetId="17">#REF!</definedName>
    <definedName name="PPh22total" localSheetId="9">#REF!</definedName>
    <definedName name="PPh22total" localSheetId="10">#REF!</definedName>
    <definedName name="PPh22total" localSheetId="4">#REF!</definedName>
    <definedName name="PPh22total" localSheetId="5">#REF!</definedName>
    <definedName name="PPh22total">#REF!</definedName>
    <definedName name="PPh23total" localSheetId="12">#REF!</definedName>
    <definedName name="PPh23total" localSheetId="17">#REF!</definedName>
    <definedName name="PPh23total" localSheetId="9">#REF!</definedName>
    <definedName name="PPh23total" localSheetId="10">#REF!</definedName>
    <definedName name="PPh23total" localSheetId="4">#REF!</definedName>
    <definedName name="PPh23total" localSheetId="5">#REF!</definedName>
    <definedName name="PPh23total">#REF!</definedName>
    <definedName name="pph24refund" localSheetId="12">#REF!</definedName>
    <definedName name="pph24refund" localSheetId="17">#REF!</definedName>
    <definedName name="pph24refund" localSheetId="9">#REF!</definedName>
    <definedName name="pph24refund" localSheetId="10">#REF!</definedName>
    <definedName name="pph24refund" localSheetId="4">#REF!</definedName>
    <definedName name="pph24refund" localSheetId="5">#REF!</definedName>
    <definedName name="pph24refund">#REF!</definedName>
    <definedName name="PPh24total" localSheetId="12">#REF!</definedName>
    <definedName name="PPh24total" localSheetId="17">#REF!</definedName>
    <definedName name="PPh24total" localSheetId="9">#REF!</definedName>
    <definedName name="PPh24total" localSheetId="10">#REF!</definedName>
    <definedName name="PPh24total" localSheetId="4">#REF!</definedName>
    <definedName name="PPh24total" localSheetId="5">#REF!</definedName>
    <definedName name="PPh24total">#REF!</definedName>
    <definedName name="pph25calculation" localSheetId="12">#REF!</definedName>
    <definedName name="pph25calculation" localSheetId="17">#REF!</definedName>
    <definedName name="pph25calculation" localSheetId="9">#REF!</definedName>
    <definedName name="pph25calculation" localSheetId="10">#REF!</definedName>
    <definedName name="pph25calculation" localSheetId="4">#REF!</definedName>
    <definedName name="pph25calculation" localSheetId="5">#REF!</definedName>
    <definedName name="pph25calculation">#REF!</definedName>
    <definedName name="pph25calculation01" localSheetId="12">#REF!</definedName>
    <definedName name="pph25calculation01" localSheetId="17">#REF!</definedName>
    <definedName name="pph25calculation01" localSheetId="9">#REF!</definedName>
    <definedName name="pph25calculation01" localSheetId="10">#REF!</definedName>
    <definedName name="pph25calculation01" localSheetId="4">#REF!</definedName>
    <definedName name="pph25calculation01" localSheetId="5">#REF!</definedName>
    <definedName name="pph25calculation01">#REF!</definedName>
    <definedName name="pph25calculation02" localSheetId="12">#REF!</definedName>
    <definedName name="pph25calculation02" localSheetId="17">#REF!</definedName>
    <definedName name="pph25calculation02" localSheetId="9">#REF!</definedName>
    <definedName name="pph25calculation02" localSheetId="10">#REF!</definedName>
    <definedName name="pph25calculation02" localSheetId="4">#REF!</definedName>
    <definedName name="pph25calculation02" localSheetId="5">#REF!</definedName>
    <definedName name="pph25calculation02">#REF!</definedName>
    <definedName name="pph25calculation02amt" localSheetId="12">#REF!</definedName>
    <definedName name="pph25calculation02amt" localSheetId="17">#REF!</definedName>
    <definedName name="pph25calculation02amt" localSheetId="9">#REF!</definedName>
    <definedName name="pph25calculation02amt" localSheetId="10">#REF!</definedName>
    <definedName name="pph25calculation02amt" localSheetId="4">#REF!</definedName>
    <definedName name="pph25calculation02amt" localSheetId="5">#REF!</definedName>
    <definedName name="pph25calculation02amt">#REF!</definedName>
    <definedName name="PPh25exSTP" localSheetId="2">'[1]GENERAL INFO'!$R$108</definedName>
    <definedName name="PPh25exSTP" localSheetId="4">'[2]GENERAL INFO'!$R$108</definedName>
    <definedName name="PPh25exSTP" localSheetId="5">'GENERAL INFO'!$L$99</definedName>
    <definedName name="PPh25exSTP">'GENERAL INFO'!$L$99</definedName>
    <definedName name="PPH25TOTAL" localSheetId="2">'[1]GENERAL INFO'!$N$108</definedName>
    <definedName name="PPH25TOTAL" localSheetId="4">'[2]GENERAL INFO'!$N$108</definedName>
    <definedName name="PPH25TOTAL" localSheetId="5">'GENERAL INFO'!$H$99</definedName>
    <definedName name="PPH25TOTAL">'GENERAL INFO'!$H$99</definedName>
    <definedName name="PPhGvBtotal" localSheetId="12">#REF!</definedName>
    <definedName name="PPhGvBtotal" localSheetId="17">#REF!</definedName>
    <definedName name="PPhGvBtotal" localSheetId="9">#REF!</definedName>
    <definedName name="PPhGvBtotal" localSheetId="10">#REF!</definedName>
    <definedName name="PPhGvBtotal" localSheetId="4">#REF!</definedName>
    <definedName name="PPhGvBtotal" localSheetId="5">#REF!</definedName>
    <definedName name="PPhGvBtotal">#REF!</definedName>
    <definedName name="pphlnbtotal" localSheetId="12">#REF!</definedName>
    <definedName name="pphlnbtotal" localSheetId="17">#REF!</definedName>
    <definedName name="pphlnbtotal" localSheetId="9">#REF!</definedName>
    <definedName name="pphlnbtotal" localSheetId="10">#REF!</definedName>
    <definedName name="pphlnbtotal" localSheetId="4">#REF!</definedName>
    <definedName name="pphlnbtotal" localSheetId="5">#REF!</definedName>
    <definedName name="pphlnbtotal">#REF!</definedName>
    <definedName name="_xlnm.Print_Area" localSheetId="15">'1770 S-1'!$A$1:$AO$112</definedName>
    <definedName name="_xlnm.Print_Area" localSheetId="8">'1770 S-1 JP'!$A$1:$AO$112</definedName>
    <definedName name="_xlnm.Print_Area" localSheetId="16">'1770 S-II'!$A$1:$AO$144</definedName>
    <definedName name="_xlnm.Print_Area" localSheetId="17">'1770 S-II (2)'!$A$1:$AO$144</definedName>
    <definedName name="_xlnm.Print_Area" localSheetId="9">'1770 S-II JP'!$A$1:$AO$144</definedName>
    <definedName name="_xlnm.Print_Area" localSheetId="10">'1770 S-II JP (2)'!$A$1:$AO$144</definedName>
    <definedName name="_xlnm.Print_Area" localSheetId="14">'1770S'!$B$1:$AS$129</definedName>
    <definedName name="_xlnm.Print_Area" localSheetId="7">'1770S JP'!$B$1:$AS$127</definedName>
    <definedName name="_xlnm.Print_Area" localSheetId="2">'A &amp; L INFO'!$A$1:$I$126</definedName>
    <definedName name="_xlnm.Print_Area" localSheetId="6">'Appointment'!$A$1:$AA$57</definedName>
    <definedName name="_xlnm.Print_Area" localSheetId="13">'Attachment JP'!$A$1:$AB$150</definedName>
    <definedName name="_xlnm.Print_Area" localSheetId="4">'EXC RATES'!$A$1:$C$96</definedName>
    <definedName name="_xlnm.Print_Area" localSheetId="0">'GENERAL INFO'!$A$1:$Z$219</definedName>
    <definedName name="_xlnm.Print_Area" localSheetId="1">'JAPANESE INCOME'!$A$1:$J$164</definedName>
    <definedName name="_xlnm.Print_Area" localSheetId="18">'LAMPIRAN'!$A$1:$AC$80</definedName>
    <definedName name="_xlnm.Print_Titles" localSheetId="2">'A &amp; L INFO'!$1:$1</definedName>
    <definedName name="_xlnm.Print_Titles" localSheetId="13">'Attachment JP'!$1:$8</definedName>
    <definedName name="_xlnm.Print_Titles" localSheetId="4">'EXC RATES'!$1:$2</definedName>
    <definedName name="_xlnm.Print_Titles" localSheetId="0">'GENERAL INFO'!$1:$1</definedName>
    <definedName name="_xlnm.Print_Titles" localSheetId="1">'JAPANESE INCOME'!$1:$2</definedName>
    <definedName name="_xlnm.Print_Titles" localSheetId="18">'LAMPIRAN'!$1:$9</definedName>
    <definedName name="provisions" localSheetId="12">#REF!</definedName>
    <definedName name="provisions" localSheetId="17">#REF!</definedName>
    <definedName name="provisions" localSheetId="9">#REF!</definedName>
    <definedName name="provisions" localSheetId="10">#REF!</definedName>
    <definedName name="provisions" localSheetId="4">#REF!</definedName>
    <definedName name="provisions" localSheetId="5">#REF!</definedName>
    <definedName name="provisions">#REF!</definedName>
    <definedName name="proxy" localSheetId="12">#REF!</definedName>
    <definedName name="proxy" localSheetId="17">#REF!</definedName>
    <definedName name="proxy" localSheetId="9">#REF!</definedName>
    <definedName name="proxy" localSheetId="10">#REF!</definedName>
    <definedName name="proxy" localSheetId="4">#REF!</definedName>
    <definedName name="proxy" localSheetId="5">#REF!</definedName>
    <definedName name="proxy">#REF!</definedName>
    <definedName name="proxy01" localSheetId="2">'[1]GENERAL INFO'!$D$68</definedName>
    <definedName name="proxy01" localSheetId="4">'[2]GENERAL INFO'!$D$68</definedName>
    <definedName name="proxy01">'GENERAL INFO'!$D$59</definedName>
    <definedName name="proxy02">'GENERAL INFO'!$E$59</definedName>
    <definedName name="proxy03">'GENERAL INFO'!$F$59</definedName>
    <definedName name="proxy04">'GENERAL INFO'!$G$59</definedName>
    <definedName name="proxy05">'GENERAL INFO'!$H$59</definedName>
    <definedName name="proxy06">'GENERAL INFO'!$I$59</definedName>
    <definedName name="proxy07">'GENERAL INFO'!$J$59</definedName>
    <definedName name="proxy08">'GENERAL INFO'!$K$59</definedName>
    <definedName name="proxy09">'GENERAL INFO'!$L$59</definedName>
    <definedName name="proxy10">'GENERAL INFO'!$M$59</definedName>
    <definedName name="proxy11">'GENERAL INFO'!$N$59</definedName>
    <definedName name="proxy12">'GENERAL INFO'!$O$59</definedName>
    <definedName name="proxy13">'GENERAL INFO'!$P$59</definedName>
    <definedName name="proxy14">'GENERAL INFO'!$Q$59</definedName>
    <definedName name="proxy15">'GENERAL INFO'!$R$59</definedName>
    <definedName name="proxy16">'GENERAL INFO'!$S$59</definedName>
    <definedName name="proxy17">'GENERAL INFO'!$T$59</definedName>
    <definedName name="proxy18">'GENERAL INFO'!$U$59</definedName>
    <definedName name="proxy19">'GENERAL INFO'!$V$59</definedName>
    <definedName name="proxy20">'GENERAL INFO'!$W$59</definedName>
    <definedName name="proxyid01" localSheetId="2">'[1]GENERAL INFO'!$D$69</definedName>
    <definedName name="proxyid01" localSheetId="4">'[2]GENERAL INFO'!$D$69</definedName>
    <definedName name="proxyid01" localSheetId="5">'GENERAL INFO'!$D$60</definedName>
    <definedName name="proxyid01">'GENERAL INFO'!$D$60</definedName>
    <definedName name="proxyid02" localSheetId="2">'[1]GENERAL INFO'!$E$69</definedName>
    <definedName name="proxyid02" localSheetId="4">'[2]GENERAL INFO'!$E$69</definedName>
    <definedName name="proxyid02">'GENERAL INFO'!$E$60</definedName>
    <definedName name="proxyid03" localSheetId="2">'[1]GENERAL INFO'!$G$69</definedName>
    <definedName name="proxyid03" localSheetId="4">'[2]GENERAL INFO'!$G$69</definedName>
    <definedName name="proxyid03">'GENERAL INFO'!$G$60</definedName>
    <definedName name="proxyid04" localSheetId="2">'[1]GENERAL INFO'!$H$69</definedName>
    <definedName name="proxyid04" localSheetId="4">'[2]GENERAL INFO'!$H$69</definedName>
    <definedName name="proxyid04">'GENERAL INFO'!$H$60</definedName>
    <definedName name="proxyid05" localSheetId="2">'[1]GENERAL INFO'!$I$69</definedName>
    <definedName name="proxyid05" localSheetId="4">'[2]GENERAL INFO'!$I$69</definedName>
    <definedName name="proxyid05">'GENERAL INFO'!$I$60</definedName>
    <definedName name="proxyid06" localSheetId="2">'[1]GENERAL INFO'!$K$69</definedName>
    <definedName name="proxyid06" localSheetId="4">'[2]GENERAL INFO'!$K$69</definedName>
    <definedName name="proxyid06">'GENERAL INFO'!$K$60</definedName>
    <definedName name="proxyid07" localSheetId="2">'[1]GENERAL INFO'!$L$69</definedName>
    <definedName name="proxyid07" localSheetId="4">'[2]GENERAL INFO'!$L$69</definedName>
    <definedName name="proxyid07">'GENERAL INFO'!$L$60</definedName>
    <definedName name="proxyid08" localSheetId="2">'[1]GENERAL INFO'!$M$69</definedName>
    <definedName name="proxyid08" localSheetId="4">'[2]GENERAL INFO'!$M$69</definedName>
    <definedName name="proxyid08">'GENERAL INFO'!$M$60</definedName>
    <definedName name="proxyid09" localSheetId="2">'[1]GENERAL INFO'!$O$69</definedName>
    <definedName name="proxyid09" localSheetId="4">'[2]GENERAL INFO'!$O$69</definedName>
    <definedName name="proxyid09">'GENERAL INFO'!$O$60</definedName>
    <definedName name="proxyid10" localSheetId="2">'[1]GENERAL INFO'!$Q$69</definedName>
    <definedName name="proxyid10" localSheetId="4">'[2]GENERAL INFO'!$Q$69</definedName>
    <definedName name="proxyid10">'GENERAL INFO'!$Q$60</definedName>
    <definedName name="proxyid11" localSheetId="2">'[1]GENERAL INFO'!$R$69</definedName>
    <definedName name="proxyid11" localSheetId="4">'[2]GENERAL INFO'!$R$69</definedName>
    <definedName name="proxyid11">'GENERAL INFO'!$R$60</definedName>
    <definedName name="proxyid12" localSheetId="2">'[1]GENERAL INFO'!$S$69</definedName>
    <definedName name="proxyid12" localSheetId="4">'[2]GENERAL INFO'!$S$69</definedName>
    <definedName name="proxyid12">'GENERAL INFO'!$S$60</definedName>
    <definedName name="proxyid13" localSheetId="2">'[1]GENERAL INFO'!$U$69</definedName>
    <definedName name="proxyid13" localSheetId="4">'[2]GENERAL INFO'!$U$69</definedName>
    <definedName name="proxyid13">'GENERAL INFO'!$U$60</definedName>
    <definedName name="proxyid14" localSheetId="2">'[1]GENERAL INFO'!$V$69</definedName>
    <definedName name="proxyid14" localSheetId="4">'[2]GENERAL INFO'!$V$69</definedName>
    <definedName name="proxyid14">'GENERAL INFO'!$V$60</definedName>
    <definedName name="proxyid15" localSheetId="2">'[1]GENERAL INFO'!$W$69</definedName>
    <definedName name="proxyid15" localSheetId="4">'[2]GENERAL INFO'!$W$69</definedName>
    <definedName name="proxyid15">'GENERAL INFO'!$W$60</definedName>
    <definedName name="pt" localSheetId="12">#REF!</definedName>
    <definedName name="pt" localSheetId="17">#REF!</definedName>
    <definedName name="pt" localSheetId="9">#REF!</definedName>
    <definedName name="pt" localSheetId="10">#REF!</definedName>
    <definedName name="pt" localSheetId="4">#REF!</definedName>
    <definedName name="pt" localSheetId="5">#REF!</definedName>
    <definedName name="pt">#REF!</definedName>
    <definedName name="refund" localSheetId="12">#REF!</definedName>
    <definedName name="refund" localSheetId="17">#REF!</definedName>
    <definedName name="refund" localSheetId="9">#REF!</definedName>
    <definedName name="refund" localSheetId="10">#REF!</definedName>
    <definedName name="refund" localSheetId="4">#REF!</definedName>
    <definedName name="refund" localSheetId="5">#REF!</definedName>
    <definedName name="refund">#REF!</definedName>
    <definedName name="refundpph24" localSheetId="12">'[1]GENERAL INFO'!#REF!</definedName>
    <definedName name="refundpph24" localSheetId="17">'[1]GENERAL INFO'!#REF!</definedName>
    <definedName name="refundpph24" localSheetId="9">'[1]GENERAL INFO'!#REF!</definedName>
    <definedName name="refundpph24" localSheetId="10">'[1]GENERAL INFO'!#REF!</definedName>
    <definedName name="refundpph24" localSheetId="4">'[2]GENERAL INFO'!#REF!</definedName>
    <definedName name="refundpph24" localSheetId="5">'[1]GENERAL INFO'!#REF!</definedName>
    <definedName name="refundpph24">'[1]GENERAL INFO'!#REF!</definedName>
    <definedName name="rentals" localSheetId="12">#REF!</definedName>
    <definedName name="rentals" localSheetId="17">#REF!</definedName>
    <definedName name="rentals" localSheetId="9">#REF!</definedName>
    <definedName name="rentals" localSheetId="10">#REF!</definedName>
    <definedName name="rentals" localSheetId="4">#REF!</definedName>
    <definedName name="rentals" localSheetId="5">#REF!</definedName>
    <definedName name="rentals">#REF!</definedName>
    <definedName name="royalties" localSheetId="12">#REF!</definedName>
    <definedName name="royalties" localSheetId="17">#REF!</definedName>
    <definedName name="royalties" localSheetId="9">#REF!</definedName>
    <definedName name="royalties" localSheetId="10">#REF!</definedName>
    <definedName name="royalties" localSheetId="4">#REF!</definedName>
    <definedName name="royalties" localSheetId="5">#REF!</definedName>
    <definedName name="royalties">#REF!</definedName>
    <definedName name="rupiah" localSheetId="12">#REF!</definedName>
    <definedName name="rupiah" localSheetId="17">#REF!</definedName>
    <definedName name="rupiah" localSheetId="9">#REF!</definedName>
    <definedName name="rupiah" localSheetId="10">#REF!</definedName>
    <definedName name="rupiah" localSheetId="4">#REF!</definedName>
    <definedName name="rupiah" localSheetId="5">#REF!</definedName>
    <definedName name="rupiah">#REF!</definedName>
    <definedName name="SavingAccount" localSheetId="5">'A &amp; L INFO'!$O$9</definedName>
    <definedName name="SavingAccount">'A &amp; L INFO'!$O$9</definedName>
    <definedName name="service" localSheetId="12">#REF!</definedName>
    <definedName name="service" localSheetId="17">#REF!</definedName>
    <definedName name="service" localSheetId="9">#REF!</definedName>
    <definedName name="service" localSheetId="10">#REF!</definedName>
    <definedName name="service" localSheetId="4">#REF!</definedName>
    <definedName name="service" localSheetId="5">#REF!</definedName>
    <definedName name="service">#REF!</definedName>
    <definedName name="signdate" localSheetId="12">#REF!</definedName>
    <definedName name="signdate" localSheetId="17">#REF!</definedName>
    <definedName name="signdate" localSheetId="9">#REF!</definedName>
    <definedName name="signdate" localSheetId="10">#REF!</definedName>
    <definedName name="signdate" localSheetId="4">#REF!</definedName>
    <definedName name="signdate" localSheetId="5">#REF!</definedName>
    <definedName name="signdate">#REF!</definedName>
    <definedName name="signername" localSheetId="12">#REF!</definedName>
    <definedName name="signername" localSheetId="17">#REF!</definedName>
    <definedName name="signername" localSheetId="9">#REF!</definedName>
    <definedName name="signername" localSheetId="10">#REF!</definedName>
    <definedName name="signername" localSheetId="4">#REF!</definedName>
    <definedName name="signername" localSheetId="5">#REF!</definedName>
    <definedName name="signername">#REF!</definedName>
    <definedName name="signplace" localSheetId="12">#REF!</definedName>
    <definedName name="signplace" localSheetId="17">#REF!</definedName>
    <definedName name="signplace" localSheetId="9">#REF!</definedName>
    <definedName name="signplace" localSheetId="10">#REF!</definedName>
    <definedName name="signplace" localSheetId="4">#REF!</definedName>
    <definedName name="signplace" localSheetId="5">#REF!</definedName>
    <definedName name="signplace">#REF!</definedName>
    <definedName name="slm" localSheetId="12">#REF!</definedName>
    <definedName name="slm" localSheetId="17">#REF!</definedName>
    <definedName name="slm" localSheetId="9">#REF!</definedName>
    <definedName name="slm" localSheetId="10">#REF!</definedName>
    <definedName name="slm" localSheetId="4">#REF!</definedName>
    <definedName name="slm" localSheetId="5">#REF!</definedName>
    <definedName name="slm">#REF!</definedName>
    <definedName name="spouseNpwp" localSheetId="5">'GENERAL INFO'!$G$26</definedName>
    <definedName name="spouseNpwp">'GENERAL INFO'!$G$26</definedName>
    <definedName name="ssppph29" localSheetId="12">#REF!</definedName>
    <definedName name="ssppph29" localSheetId="17">#REF!</definedName>
    <definedName name="ssppph29" localSheetId="9">#REF!</definedName>
    <definedName name="ssppph29" localSheetId="10">#REF!</definedName>
    <definedName name="ssppph29" localSheetId="4">#REF!</definedName>
    <definedName name="ssppph29" localSheetId="5">#REF!</definedName>
    <definedName name="ssppph29">#REF!</definedName>
    <definedName name="startyear" localSheetId="12">#REF!</definedName>
    <definedName name="startyear" localSheetId="17">#REF!</definedName>
    <definedName name="startyear" localSheetId="9">#REF!</definedName>
    <definedName name="startyear" localSheetId="10">#REF!</definedName>
    <definedName name="startyear" localSheetId="4">#REF!</definedName>
    <definedName name="startyear" localSheetId="5">#REF!</definedName>
    <definedName name="startyear">#REF!</definedName>
    <definedName name="summarybranches" localSheetId="12">#REF!</definedName>
    <definedName name="summarybranches" localSheetId="17">#REF!</definedName>
    <definedName name="summarybranches" localSheetId="9">#REF!</definedName>
    <definedName name="summarybranches" localSheetId="10">#REF!</definedName>
    <definedName name="summarybranches" localSheetId="4">#REF!</definedName>
    <definedName name="summarybranches" localSheetId="5">#REF!</definedName>
    <definedName name="summarybranches">#REF!</definedName>
    <definedName name="summaryofficers" localSheetId="12">#REF!</definedName>
    <definedName name="summaryofficers" localSheetId="17">#REF!</definedName>
    <definedName name="summaryofficers" localSheetId="9">#REF!</definedName>
    <definedName name="summaryofficers" localSheetId="10">#REF!</definedName>
    <definedName name="summaryofficers" localSheetId="4">#REF!</definedName>
    <definedName name="summaryofficers" localSheetId="5">#REF!</definedName>
    <definedName name="summaryofficers">#REF!</definedName>
    <definedName name="summarypph22" localSheetId="12">#REF!</definedName>
    <definedName name="summarypph22" localSheetId="17">#REF!</definedName>
    <definedName name="summarypph22" localSheetId="9">#REF!</definedName>
    <definedName name="summarypph22" localSheetId="10">#REF!</definedName>
    <definedName name="summarypph22" localSheetId="4">#REF!</definedName>
    <definedName name="summarypph22" localSheetId="5">#REF!</definedName>
    <definedName name="summarypph22">#REF!</definedName>
    <definedName name="summarypph23" localSheetId="12">#REF!</definedName>
    <definedName name="summarypph23" localSheetId="17">#REF!</definedName>
    <definedName name="summarypph23" localSheetId="9">#REF!</definedName>
    <definedName name="summarypph23" localSheetId="10">#REF!</definedName>
    <definedName name="summarypph23" localSheetId="4">#REF!</definedName>
    <definedName name="summarypph23" localSheetId="5">#REF!</definedName>
    <definedName name="summarypph23">#REF!</definedName>
    <definedName name="summarypph24" localSheetId="12">#REF!</definedName>
    <definedName name="summarypph24" localSheetId="17">#REF!</definedName>
    <definedName name="summarypph24" localSheetId="9">#REF!</definedName>
    <definedName name="summarypph24" localSheetId="10">#REF!</definedName>
    <definedName name="summarypph24" localSheetId="4">#REF!</definedName>
    <definedName name="summarypph24" localSheetId="5">#REF!</definedName>
    <definedName name="summarypph24">#REF!</definedName>
    <definedName name="summarypph25" localSheetId="12">#REF!</definedName>
    <definedName name="summarypph25" localSheetId="17">#REF!</definedName>
    <definedName name="summarypph25" localSheetId="9">#REF!</definedName>
    <definedName name="summarypph25" localSheetId="10">#REF!</definedName>
    <definedName name="summarypph25" localSheetId="4">#REF!</definedName>
    <definedName name="summarypph25" localSheetId="5">#REF!</definedName>
    <definedName name="summarypph25">#REF!</definedName>
    <definedName name="summarypphgvb" localSheetId="12">#REF!</definedName>
    <definedName name="summarypphgvb" localSheetId="17">#REF!</definedName>
    <definedName name="summarypphgvb" localSheetId="9">#REF!</definedName>
    <definedName name="summarypphgvb" localSheetId="10">#REF!</definedName>
    <definedName name="summarypphgvb" localSheetId="4">#REF!</definedName>
    <definedName name="summarypphgvb" localSheetId="5">#REF!</definedName>
    <definedName name="summarypphgvb">#REF!</definedName>
    <definedName name="summaryrecipients" localSheetId="12">#REF!</definedName>
    <definedName name="summaryrecipients" localSheetId="17">#REF!</definedName>
    <definedName name="summaryrecipients" localSheetId="9">#REF!</definedName>
    <definedName name="summaryrecipients" localSheetId="10">#REF!</definedName>
    <definedName name="summaryrecipients" localSheetId="4">#REF!</definedName>
    <definedName name="summaryrecipients" localSheetId="5">#REF!</definedName>
    <definedName name="summaryrecipients">#REF!</definedName>
    <definedName name="summaryshareholders" localSheetId="12">#REF!</definedName>
    <definedName name="summaryshareholders" localSheetId="17">#REF!</definedName>
    <definedName name="summaryshareholders" localSheetId="9">#REF!</definedName>
    <definedName name="summaryshareholders" localSheetId="10">#REF!</definedName>
    <definedName name="summaryshareholders" localSheetId="4">#REF!</definedName>
    <definedName name="summaryshareholders" localSheetId="5">#REF!</definedName>
    <definedName name="summaryshareholders">#REF!</definedName>
    <definedName name="TAX" localSheetId="12">#REF!</definedName>
    <definedName name="TAX" localSheetId="17">#REF!</definedName>
    <definedName name="TAX" localSheetId="9">#REF!</definedName>
    <definedName name="TAX" localSheetId="10">#REF!</definedName>
    <definedName name="TAX" localSheetId="4">#REF!</definedName>
    <definedName name="TAX" localSheetId="5">#REF!</definedName>
    <definedName name="TAX">#REF!</definedName>
    <definedName name="tax_due" localSheetId="2">'[1]CalculationSheet'!$R$44</definedName>
    <definedName name="tax_due" localSheetId="4">'[2]CalculationSheet'!$R$44</definedName>
    <definedName name="tax_due" localSheetId="5">'CalculationSheet'!$R$44</definedName>
    <definedName name="tax_due">'CalculationSheet'!$R$44</definedName>
    <definedName name="taxableincome" localSheetId="12">#REF!</definedName>
    <definedName name="taxableincome" localSheetId="17">#REF!</definedName>
    <definedName name="taxableincome" localSheetId="9">#REF!</definedName>
    <definedName name="taxableincome" localSheetId="10">#REF!</definedName>
    <definedName name="taxableincome" localSheetId="5">#REF!</definedName>
    <definedName name="taxableincome">#REF!</definedName>
    <definedName name="taxdue" localSheetId="2">'[1]CalculationSheet'!$R$44</definedName>
    <definedName name="taxdue" localSheetId="4">'[2]CalculationSheet'!$R$44</definedName>
    <definedName name="taxdue">'CalculationSheet'!$R$44</definedName>
    <definedName name="taxdueorpaidabroad" localSheetId="12">#REF!</definedName>
    <definedName name="taxdueorpaidabroad" localSheetId="17">#REF!</definedName>
    <definedName name="taxdueorpaidabroad" localSheetId="9">#REF!</definedName>
    <definedName name="taxdueorpaidabroad" localSheetId="10">#REF!</definedName>
    <definedName name="taxdueorpaidabroad" localSheetId="4">#REF!</definedName>
    <definedName name="taxdueorpaidabroad" localSheetId="5">#REF!</definedName>
    <definedName name="taxdueorpaidabroad">#REF!</definedName>
    <definedName name="taxId1" localSheetId="5">'1770S JP'!$L$12</definedName>
    <definedName name="taxId1">'1770S JP'!$L$12</definedName>
    <definedName name="taxId10" localSheetId="5">'1770S JP'!$Y$12</definedName>
    <definedName name="taxId10">'1770S JP'!$Y$12</definedName>
    <definedName name="taxId11" localSheetId="5">'1770S JP'!$Z$12</definedName>
    <definedName name="taxId11">'1770S JP'!$Z$12</definedName>
    <definedName name="taxId12" localSheetId="5">'1770S JP'!$AA$12</definedName>
    <definedName name="taxId12">'1770S JP'!$AA$12</definedName>
    <definedName name="taxId13" localSheetId="5">'1770S JP'!$AC$12</definedName>
    <definedName name="taxId13">'1770S JP'!$AC$12</definedName>
    <definedName name="taxId14" localSheetId="5">'1770S JP'!$AD$12</definedName>
    <definedName name="taxId14">'1770S JP'!$AD$12</definedName>
    <definedName name="taxId15" localSheetId="5">'1770S JP'!$AE$12</definedName>
    <definedName name="taxId15">'1770S JP'!$AE$12</definedName>
    <definedName name="taxId2" localSheetId="5">'1770S JP'!$M$12</definedName>
    <definedName name="taxId2">'1770S JP'!$M$12</definedName>
    <definedName name="taxId3" localSheetId="5">'1770S JP'!$O$12</definedName>
    <definedName name="taxId3">'1770S JP'!$O$12</definedName>
    <definedName name="taxId4" localSheetId="5">'1770S JP'!$P$12</definedName>
    <definedName name="taxId4">'1770S JP'!$P$12</definedName>
    <definedName name="taxId5" localSheetId="5">'1770S JP'!$Q$12</definedName>
    <definedName name="taxId5">'1770S JP'!$Q$12</definedName>
    <definedName name="taxId6" localSheetId="5">'1770S JP'!$S$12</definedName>
    <definedName name="taxId6">'1770S JP'!$S$12</definedName>
    <definedName name="taxId7" localSheetId="5">'1770S JP'!$T$12</definedName>
    <definedName name="taxId7">'1770S JP'!$T$12</definedName>
    <definedName name="taxId8" localSheetId="5">'1770S JP'!$U$12</definedName>
    <definedName name="taxId8">'1770S JP'!$U$12</definedName>
    <definedName name="taxId9" localSheetId="5">'1770S JP'!$W$12</definedName>
    <definedName name="taxId9">'1770S JP'!$W$12</definedName>
    <definedName name="taxlosstotal" localSheetId="12">#REF!</definedName>
    <definedName name="taxlosstotal" localSheetId="17">#REF!</definedName>
    <definedName name="taxlosstotal" localSheetId="9">#REF!</definedName>
    <definedName name="taxlosstotal" localSheetId="10">#REF!</definedName>
    <definedName name="taxlosstotal" localSheetId="4">#REF!</definedName>
    <definedName name="taxlosstotal" localSheetId="5">#REF!</definedName>
    <definedName name="taxlosstotal">#REF!</definedName>
    <definedName name="taxslip1">'GENERAL INFO'!$G$112</definedName>
    <definedName name="taxslip2">'GENERAL INFO'!$L$112</definedName>
    <definedName name="taxslip3">'GENERAL INFO'!$Q$112</definedName>
    <definedName name="taxyear" localSheetId="2">'[1]GENERAL INFO'!$AD$40</definedName>
    <definedName name="taxyear" localSheetId="4">'[2]GENERAL INFO'!$AD$40</definedName>
    <definedName name="taxyear" localSheetId="5">'GENERAL INFO'!$AD$31</definedName>
    <definedName name="taxyear">'GENERAL INFO'!$AD$31</definedName>
    <definedName name="TaxYear0" localSheetId="12">'[3]FE-1770 S.P1'!#REF!</definedName>
    <definedName name="TaxYear0" localSheetId="17">'[3]FE-1770 S.P1'!#REF!</definedName>
    <definedName name="TaxYear0" localSheetId="9">'[3]FE-1770 S.P1'!#REF!</definedName>
    <definedName name="TaxYear0" localSheetId="10">'[3]FE-1770 S.P1'!#REF!</definedName>
    <definedName name="TaxYear0" localSheetId="4">'[3]FE-1770 S.P1'!#REF!</definedName>
    <definedName name="TaxYear0" localSheetId="5">'[3]FE-1770 S.P1'!#REF!</definedName>
    <definedName name="TaxYear0">'[3]FE-1770 S.P1'!#REF!</definedName>
    <definedName name="taxyearend" localSheetId="2">'[1]GENERAL INFO'!$AD$41</definedName>
    <definedName name="taxyearend" localSheetId="4">'[2]GENERAL INFO'!$AD$41</definedName>
    <definedName name="taxyearend" localSheetId="5">'GENERAL INFO'!$AD$32</definedName>
    <definedName name="taxyearend">'GENERAL INFO'!$AD$32</definedName>
    <definedName name="TimeDeposit" localSheetId="5">'A &amp; L INFO'!$O$11</definedName>
    <definedName name="TimeDeposit">'A &amp; L INFO'!$O$11</definedName>
    <definedName name="topmanager" localSheetId="12">#REF!</definedName>
    <definedName name="topmanager" localSheetId="17">#REF!</definedName>
    <definedName name="topmanager" localSheetId="9">#REF!</definedName>
    <definedName name="topmanager" localSheetId="10">#REF!</definedName>
    <definedName name="topmanager" localSheetId="4">#REF!</definedName>
    <definedName name="topmanager" localSheetId="5">#REF!</definedName>
    <definedName name="topmanager">#REF!</definedName>
    <definedName name="TOTAL_CASH" localSheetId="5">'A &amp; L INFO'!$I$24</definedName>
    <definedName name="TOTAL_CASH">'A &amp; L INFO'!$I$24</definedName>
    <definedName name="TOTAL_INVESTMENT" localSheetId="5">'A &amp; L INFO'!$I$56</definedName>
    <definedName name="TOTAL_INVESTMENT">'A &amp; L INFO'!$I$56</definedName>
    <definedName name="TOTAL_OTHER_PROP" localSheetId="5">'A &amp; L INFO'!$I$88</definedName>
    <definedName name="TOTAL_OTHER_PROP">'A &amp; L INFO'!$I$88</definedName>
    <definedName name="TOTAL_PROP" localSheetId="5">'A &amp; L INFO'!$I$104</definedName>
    <definedName name="TOTAL_PROP">'A &amp; L INFO'!$I$104</definedName>
    <definedName name="TOTAL_RECEIVABLE" localSheetId="5">'A &amp; L INFO'!$I$40</definedName>
    <definedName name="TOTAL_RECEIVABLE">'A &amp; L INFO'!$I$40</definedName>
    <definedName name="TOTAL_TRANSPORT" localSheetId="5">'A &amp; L INFO'!$I$72</definedName>
    <definedName name="TOTAL_TRANSPORT">'A &amp; L INFO'!$I$72</definedName>
    <definedName name="TOTALASSETS" localSheetId="12">#REF!</definedName>
    <definedName name="TOTALASSETS" localSheetId="17">#REF!</definedName>
    <definedName name="TOTALASSETS" localSheetId="9">#REF!</definedName>
    <definedName name="TOTALASSETS" localSheetId="10">#REF!</definedName>
    <definedName name="TOTALASSETS" localSheetId="2">'A &amp; L INFO'!$I$106</definedName>
    <definedName name="TOTALASSETS" localSheetId="5">#REF!</definedName>
    <definedName name="TOTALASSETS">#REF!</definedName>
    <definedName name="TOTALCARS" localSheetId="12">#REF!</definedName>
    <definedName name="TOTALCARS" localSheetId="17">#REF!</definedName>
    <definedName name="TOTALCARS" localSheetId="9">#REF!</definedName>
    <definedName name="TOTALCARS" localSheetId="10">#REF!</definedName>
    <definedName name="TOTALCARS" localSheetId="2">'A &amp; L INFO'!#REF!</definedName>
    <definedName name="TOTALCARS" localSheetId="4">'[2]A &amp; L INFO'!#REF!</definedName>
    <definedName name="TOTALCARS" localSheetId="5">#REF!</definedName>
    <definedName name="TOTALCARS">#REF!</definedName>
    <definedName name="TOTALCASH" localSheetId="12">#REF!</definedName>
    <definedName name="TOTALCASH" localSheetId="17">#REF!</definedName>
    <definedName name="TOTALCASH" localSheetId="9">#REF!</definedName>
    <definedName name="TOTALCASH" localSheetId="10">#REF!</definedName>
    <definedName name="TOTALCASH" localSheetId="2">'A &amp; L INFO'!#REF!</definedName>
    <definedName name="TOTALCASH" localSheetId="4">'[2]A &amp; L INFO'!$J$14</definedName>
    <definedName name="TOTALCASH" localSheetId="5">#REF!</definedName>
    <definedName name="TOTALCASH">#REF!</definedName>
    <definedName name="TOTALLAND" localSheetId="12">#REF!</definedName>
    <definedName name="TOTALLAND" localSheetId="17">#REF!</definedName>
    <definedName name="TOTALLAND" localSheetId="9">#REF!</definedName>
    <definedName name="TOTALLAND" localSheetId="10">#REF!</definedName>
    <definedName name="TOTALLAND" localSheetId="2">'A &amp; L INFO'!#REF!</definedName>
    <definedName name="TOTALLAND" localSheetId="4">'[2]A &amp; L INFO'!$J$258</definedName>
    <definedName name="TOTALLAND" localSheetId="5">#REF!</definedName>
    <definedName name="TOTALLAND">#REF!</definedName>
    <definedName name="TOTALLIABILITIES" localSheetId="5">'A &amp; L INFO'!$I$124</definedName>
    <definedName name="TOTALLIABILITIES">'A &amp; L INFO'!$I$124</definedName>
    <definedName name="TOTALLOANS" localSheetId="12">#REF!</definedName>
    <definedName name="TOTALLOANS" localSheetId="17">#REF!</definedName>
    <definedName name="TOTALLOANS" localSheetId="9">#REF!</definedName>
    <definedName name="TOTALLOANS" localSheetId="10">#REF!</definedName>
    <definedName name="TOTALLOANS" localSheetId="2">'A &amp; L INFO'!#REF!</definedName>
    <definedName name="TOTALLOANS" localSheetId="4">'[2]A &amp; L INFO'!$J$300</definedName>
    <definedName name="TOTALLOANS" localSheetId="5">#REF!</definedName>
    <definedName name="TOTALLOANS">#REF!</definedName>
    <definedName name="totalnetincome" localSheetId="12">#REF!</definedName>
    <definedName name="totalnetincome" localSheetId="17">#REF!</definedName>
    <definedName name="totalnetincome" localSheetId="9">#REF!</definedName>
    <definedName name="totalnetincome" localSheetId="10">#REF!</definedName>
    <definedName name="totalnetincome" localSheetId="4">#REF!</definedName>
    <definedName name="totalnetincome" localSheetId="5">#REF!</definedName>
    <definedName name="totalnetincome">#REF!</definedName>
    <definedName name="TOTALOTHERASSETS" localSheetId="12">#REF!</definedName>
    <definedName name="TOTALOTHERASSETS" localSheetId="17">#REF!</definedName>
    <definedName name="TOTALOTHERASSETS" localSheetId="9">#REF!</definedName>
    <definedName name="TOTALOTHERASSETS" localSheetId="10">#REF!</definedName>
    <definedName name="TOTALOTHERASSETS" localSheetId="2">'A &amp; L INFO'!#REF!</definedName>
    <definedName name="TOTALOTHERASSETS" localSheetId="4">'[2]A &amp; L INFO'!#REF!</definedName>
    <definedName name="TOTALOTHERASSETS" localSheetId="5">#REF!</definedName>
    <definedName name="TOTALOTHERASSETS">#REF!</definedName>
    <definedName name="TOTALOTHERLIAB" localSheetId="12">'A &amp; L INFO'!#REF!</definedName>
    <definedName name="TOTALOTHERLIAB" localSheetId="17">'A &amp; L INFO'!#REF!</definedName>
    <definedName name="TOTALOTHERLIAB" localSheetId="9">'A &amp; L INFO'!#REF!</definedName>
    <definedName name="TOTALOTHERLIAB" localSheetId="10">'A &amp; L INFO'!#REF!</definedName>
    <definedName name="TOTALOTHERLIAB" localSheetId="4">'[2]A &amp; L INFO'!#REF!</definedName>
    <definedName name="TOTALOTHERLIAB" localSheetId="5">'A &amp; L INFO'!#REF!</definedName>
    <definedName name="TOTALOTHERLIAB">'A &amp; L INFO'!#REF!</definedName>
    <definedName name="totaloverseasincome" localSheetId="2">'[1]JAPANESE INCOME'!$Y$504</definedName>
    <definedName name="totaloverseasincome" localSheetId="4">'[2]OVERSEAS INCOME'!$Y$500</definedName>
    <definedName name="totaloverseasincome" localSheetId="5">'JAPANESE INCOME'!$H$152</definedName>
    <definedName name="totaloverseasincome">'JAPANESE INCOME'!$H$148</definedName>
    <definedName name="TOTALSHARES" localSheetId="12">'A &amp; L INFO'!#REF!</definedName>
    <definedName name="TOTALSHARES" localSheetId="9">'A &amp; L INFO'!#REF!</definedName>
    <definedName name="TOTALSHARES" localSheetId="4">'[2]A &amp; L INFO'!$J$58</definedName>
    <definedName name="TOTALSHARES" localSheetId="5">'A &amp; L INFO'!#REF!</definedName>
    <definedName name="TOTALSHARES">'A &amp; L INFO'!#REF!</definedName>
    <definedName name="TRADING" localSheetId="12">#REF!</definedName>
    <definedName name="TRADING" localSheetId="17">#REF!</definedName>
    <definedName name="TRADING" localSheetId="9">#REF!</definedName>
    <definedName name="TRADING" localSheetId="10">#REF!</definedName>
    <definedName name="TRADING" localSheetId="4">#REF!</definedName>
    <definedName name="TRADING" localSheetId="5">#REF!</definedName>
    <definedName name="TRADING">#REF!</definedName>
    <definedName name="turnover" localSheetId="12">#REF!</definedName>
    <definedName name="turnover" localSheetId="17">#REF!</definedName>
    <definedName name="turnover" localSheetId="9">#REF!</definedName>
    <definedName name="turnover" localSheetId="10">#REF!</definedName>
    <definedName name="turnover" localSheetId="4">#REF!</definedName>
    <definedName name="turnover" localSheetId="5">#REF!</definedName>
    <definedName name="turnover">#REF!</definedName>
    <definedName name="TX">'[12]TaxPaidAbroad'!$G$55</definedName>
    <definedName name="uncollectibles" localSheetId="12">#REF!</definedName>
    <definedName name="uncollectibles" localSheetId="17">#REF!</definedName>
    <definedName name="uncollectibles" localSheetId="9">#REF!</definedName>
    <definedName name="uncollectibles" localSheetId="10">#REF!</definedName>
    <definedName name="uncollectibles" localSheetId="4">#REF!</definedName>
    <definedName name="uncollectibles" localSheetId="5">#REF!</definedName>
    <definedName name="uncollectibles">#REF!</definedName>
    <definedName name="usd" localSheetId="12">#REF!</definedName>
    <definedName name="usd" localSheetId="17">#REF!</definedName>
    <definedName name="usd" localSheetId="9">#REF!</definedName>
    <definedName name="usd" localSheetId="10">#REF!</definedName>
    <definedName name="usd" localSheetId="4">#REF!</definedName>
    <definedName name="usd" localSheetId="5">#REF!</definedName>
    <definedName name="usd">#REF!</definedName>
    <definedName name="vc" localSheetId="12">#REF!</definedName>
    <definedName name="vc" localSheetId="17">#REF!</definedName>
    <definedName name="vc" localSheetId="9">#REF!</definedName>
    <definedName name="vc" localSheetId="10">#REF!</definedName>
    <definedName name="vc" localSheetId="4">#REF!</definedName>
    <definedName name="vc" localSheetId="5">#REF!</definedName>
    <definedName name="vc">#REF!</definedName>
    <definedName name="viai01" localSheetId="12">#REF!</definedName>
    <definedName name="viai01" localSheetId="17">#REF!</definedName>
    <definedName name="viai01" localSheetId="9">#REF!</definedName>
    <definedName name="viai01" localSheetId="10">#REF!</definedName>
    <definedName name="viai01" localSheetId="4">#REF!</definedName>
    <definedName name="viai01" localSheetId="5">#REF!</definedName>
    <definedName name="viai01">#REF!</definedName>
    <definedName name="viai02" localSheetId="12">#REF!</definedName>
    <definedName name="viai02" localSheetId="17">#REF!</definedName>
    <definedName name="viai02" localSheetId="9">#REF!</definedName>
    <definedName name="viai02" localSheetId="10">#REF!</definedName>
    <definedName name="viai02" localSheetId="4">#REF!</definedName>
    <definedName name="viai02" localSheetId="5">#REF!</definedName>
    <definedName name="viai02">#REF!</definedName>
    <definedName name="viai03" localSheetId="12">#REF!</definedName>
    <definedName name="viai03" localSheetId="17">#REF!</definedName>
    <definedName name="viai03" localSheetId="9">#REF!</definedName>
    <definedName name="viai03" localSheetId="10">#REF!</definedName>
    <definedName name="viai03" localSheetId="4">#REF!</definedName>
    <definedName name="viai03" localSheetId="5">#REF!</definedName>
    <definedName name="viai03">#REF!</definedName>
    <definedName name="viai04" localSheetId="12">#REF!</definedName>
    <definedName name="viai04" localSheetId="17">#REF!</definedName>
    <definedName name="viai04" localSheetId="9">#REF!</definedName>
    <definedName name="viai04" localSheetId="10">#REF!</definedName>
    <definedName name="viai04" localSheetId="4">#REF!</definedName>
    <definedName name="viai04" localSheetId="5">#REF!</definedName>
    <definedName name="viai04">#REF!</definedName>
    <definedName name="viai05" localSheetId="12">#REF!</definedName>
    <definedName name="viai05" localSheetId="17">#REF!</definedName>
    <definedName name="viai05" localSheetId="9">#REF!</definedName>
    <definedName name="viai05" localSheetId="10">#REF!</definedName>
    <definedName name="viai05" localSheetId="4">#REF!</definedName>
    <definedName name="viai05" localSheetId="5">#REF!</definedName>
    <definedName name="viai05">#REF!</definedName>
    <definedName name="viai06" localSheetId="12">#REF!</definedName>
    <definedName name="viai06" localSheetId="17">#REF!</definedName>
    <definedName name="viai06" localSheetId="9">#REF!</definedName>
    <definedName name="viai06" localSheetId="10">#REF!</definedName>
    <definedName name="viai06" localSheetId="4">#REF!</definedName>
    <definedName name="viai06" localSheetId="5">#REF!</definedName>
    <definedName name="viai06">#REF!</definedName>
    <definedName name="viai07" localSheetId="12">#REF!</definedName>
    <definedName name="viai07" localSheetId="17">#REF!</definedName>
    <definedName name="viai07" localSheetId="9">#REF!</definedName>
    <definedName name="viai07" localSheetId="10">#REF!</definedName>
    <definedName name="viai07" localSheetId="4">#REF!</definedName>
    <definedName name="viai07" localSheetId="5">#REF!</definedName>
    <definedName name="viai07">#REF!</definedName>
    <definedName name="viai08" localSheetId="12">#REF!</definedName>
    <definedName name="viai08" localSheetId="17">#REF!</definedName>
    <definedName name="viai08" localSheetId="9">#REF!</definedName>
    <definedName name="viai08" localSheetId="10">#REF!</definedName>
    <definedName name="viai08" localSheetId="4">#REF!</definedName>
    <definedName name="viai08" localSheetId="5">#REF!</definedName>
    <definedName name="viai08">#REF!</definedName>
    <definedName name="viai09" localSheetId="12">#REF!</definedName>
    <definedName name="viai09" localSheetId="17">#REF!</definedName>
    <definedName name="viai09" localSheetId="9">#REF!</definedName>
    <definedName name="viai09" localSheetId="10">#REF!</definedName>
    <definedName name="viai09" localSheetId="4">#REF!</definedName>
    <definedName name="viai09" localSheetId="5">#REF!</definedName>
    <definedName name="viai09">#REF!</definedName>
    <definedName name="viai10" localSheetId="12">#REF!</definedName>
    <definedName name="viai10" localSheetId="17">#REF!</definedName>
    <definedName name="viai10" localSheetId="9">#REF!</definedName>
    <definedName name="viai10" localSheetId="10">#REF!</definedName>
    <definedName name="viai10" localSheetId="4">#REF!</definedName>
    <definedName name="viai10" localSheetId="5">#REF!</definedName>
    <definedName name="viai10">#REF!</definedName>
    <definedName name="viai11" localSheetId="12">#REF!</definedName>
    <definedName name="viai11" localSheetId="17">#REF!</definedName>
    <definedName name="viai11" localSheetId="9">#REF!</definedName>
    <definedName name="viai11" localSheetId="10">#REF!</definedName>
    <definedName name="viai11" localSheetId="4">#REF!</definedName>
    <definedName name="viai11" localSheetId="5">#REF!</definedName>
    <definedName name="viai11">#REF!</definedName>
    <definedName name="viai12" localSheetId="12">#REF!</definedName>
    <definedName name="viai12" localSheetId="17">#REF!</definedName>
    <definedName name="viai12" localSheetId="9">#REF!</definedName>
    <definedName name="viai12" localSheetId="10">#REF!</definedName>
    <definedName name="viai12" localSheetId="4">#REF!</definedName>
    <definedName name="viai12" localSheetId="5">#REF!</definedName>
    <definedName name="viai12">#REF!</definedName>
    <definedName name="viai13" localSheetId="12">#REF!</definedName>
    <definedName name="viai13" localSheetId="17">#REF!</definedName>
    <definedName name="viai13" localSheetId="9">#REF!</definedName>
    <definedName name="viai13" localSheetId="10">#REF!</definedName>
    <definedName name="viai13" localSheetId="4">#REF!</definedName>
    <definedName name="viai13" localSheetId="5">#REF!</definedName>
    <definedName name="viai13">#REF!</definedName>
    <definedName name="viai14" localSheetId="12">#REF!</definedName>
    <definedName name="viai14" localSheetId="17">#REF!</definedName>
    <definedName name="viai14" localSheetId="9">#REF!</definedName>
    <definedName name="viai14" localSheetId="10">#REF!</definedName>
    <definedName name="viai14" localSheetId="4">#REF!</definedName>
    <definedName name="viai14" localSheetId="5">#REF!</definedName>
    <definedName name="viai14">#REF!</definedName>
    <definedName name="viai15" localSheetId="12">#REF!</definedName>
    <definedName name="viai15" localSheetId="17">#REF!</definedName>
    <definedName name="viai15" localSheetId="9">#REF!</definedName>
    <definedName name="viai15" localSheetId="10">#REF!</definedName>
    <definedName name="viai15" localSheetId="4">#REF!</definedName>
    <definedName name="viai15" localSheetId="5">#REF!</definedName>
    <definedName name="viai15">#REF!</definedName>
    <definedName name="viai16" localSheetId="12">#REF!</definedName>
    <definedName name="viai16" localSheetId="17">#REF!</definedName>
    <definedName name="viai16" localSheetId="9">#REF!</definedName>
    <definedName name="viai16" localSheetId="10">#REF!</definedName>
    <definedName name="viai16" localSheetId="4">#REF!</definedName>
    <definedName name="viai16" localSheetId="5">#REF!</definedName>
    <definedName name="viai16">#REF!</definedName>
    <definedName name="viaitotal" localSheetId="12">#REF!</definedName>
    <definedName name="viaitotal" localSheetId="17">#REF!</definedName>
    <definedName name="viaitotal" localSheetId="9">#REF!</definedName>
    <definedName name="viaitotal" localSheetId="10">#REF!</definedName>
    <definedName name="viaitotal" localSheetId="4">#REF!</definedName>
    <definedName name="viaitotal" localSheetId="5">#REF!</definedName>
    <definedName name="viaitotal">#REF!</definedName>
    <definedName name="viap11" localSheetId="12">#REF!</definedName>
    <definedName name="viap11" localSheetId="17">#REF!</definedName>
    <definedName name="viap11" localSheetId="9">#REF!</definedName>
    <definedName name="viap11" localSheetId="10">#REF!</definedName>
    <definedName name="viap11" localSheetId="4">#REF!</definedName>
    <definedName name="viap11" localSheetId="5">#REF!</definedName>
    <definedName name="viap11">#REF!</definedName>
    <definedName name="viap12" localSheetId="12">#REF!</definedName>
    <definedName name="viap12" localSheetId="17">#REF!</definedName>
    <definedName name="viap12" localSheetId="9">#REF!</definedName>
    <definedName name="viap12" localSheetId="10">#REF!</definedName>
    <definedName name="viap12" localSheetId="4">#REF!</definedName>
    <definedName name="viap12" localSheetId="5">#REF!</definedName>
    <definedName name="viap12">#REF!</definedName>
    <definedName name="viap13" localSheetId="12">#REF!</definedName>
    <definedName name="viap13" localSheetId="17">#REF!</definedName>
    <definedName name="viap13" localSheetId="9">#REF!</definedName>
    <definedName name="viap13" localSheetId="10">#REF!</definedName>
    <definedName name="viap13" localSheetId="4">#REF!</definedName>
    <definedName name="viap13" localSheetId="5">#REF!</definedName>
    <definedName name="viap13">#REF!</definedName>
    <definedName name="viap14" localSheetId="12">#REF!</definedName>
    <definedName name="viap14" localSheetId="17">#REF!</definedName>
    <definedName name="viap14" localSheetId="9">#REF!</definedName>
    <definedName name="viap14" localSheetId="10">#REF!</definedName>
    <definedName name="viap14" localSheetId="4">#REF!</definedName>
    <definedName name="viap14" localSheetId="5">#REF!</definedName>
    <definedName name="viap14">#REF!</definedName>
    <definedName name="viap15" localSheetId="12">#REF!</definedName>
    <definedName name="viap15" localSheetId="17">#REF!</definedName>
    <definedName name="viap15" localSheetId="9">#REF!</definedName>
    <definedName name="viap15" localSheetId="10">#REF!</definedName>
    <definedName name="viap15" localSheetId="4">#REF!</definedName>
    <definedName name="viap15" localSheetId="5">#REF!</definedName>
    <definedName name="viap15">#REF!</definedName>
    <definedName name="viap16" localSheetId="12">#REF!</definedName>
    <definedName name="viap16" localSheetId="17">#REF!</definedName>
    <definedName name="viap16" localSheetId="9">#REF!</definedName>
    <definedName name="viap16" localSheetId="10">#REF!</definedName>
    <definedName name="viap16" localSheetId="4">#REF!</definedName>
    <definedName name="viap16" localSheetId="5">#REF!</definedName>
    <definedName name="viap16">#REF!</definedName>
    <definedName name="viar01" localSheetId="12">#REF!</definedName>
    <definedName name="viar01" localSheetId="17">#REF!</definedName>
    <definedName name="viar01" localSheetId="9">#REF!</definedName>
    <definedName name="viar01" localSheetId="10">#REF!</definedName>
    <definedName name="viar01" localSheetId="4">#REF!</definedName>
    <definedName name="viar01" localSheetId="5">#REF!</definedName>
    <definedName name="viar01">#REF!</definedName>
    <definedName name="viar02" localSheetId="12">#REF!</definedName>
    <definedName name="viar02" localSheetId="17">#REF!</definedName>
    <definedName name="viar02" localSheetId="9">#REF!</definedName>
    <definedName name="viar02" localSheetId="10">#REF!</definedName>
    <definedName name="viar02" localSheetId="4">#REF!</definedName>
    <definedName name="viar02" localSheetId="5">#REF!</definedName>
    <definedName name="viar02">#REF!</definedName>
    <definedName name="viar03" localSheetId="12">#REF!</definedName>
    <definedName name="viar03" localSheetId="17">#REF!</definedName>
    <definedName name="viar03" localSheetId="9">#REF!</definedName>
    <definedName name="viar03" localSheetId="10">#REF!</definedName>
    <definedName name="viar03" localSheetId="4">#REF!</definedName>
    <definedName name="viar03" localSheetId="5">#REF!</definedName>
    <definedName name="viar03">#REF!</definedName>
    <definedName name="viar04" localSheetId="12">#REF!</definedName>
    <definedName name="viar04" localSheetId="17">#REF!</definedName>
    <definedName name="viar04" localSheetId="9">#REF!</definedName>
    <definedName name="viar04" localSheetId="10">#REF!</definedName>
    <definedName name="viar04" localSheetId="4">#REF!</definedName>
    <definedName name="viar04" localSheetId="5">#REF!</definedName>
    <definedName name="viar04">#REF!</definedName>
    <definedName name="viar05" localSheetId="12">#REF!</definedName>
    <definedName name="viar05" localSheetId="17">#REF!</definedName>
    <definedName name="viar05" localSheetId="9">#REF!</definedName>
    <definedName name="viar05" localSheetId="10">#REF!</definedName>
    <definedName name="viar05" localSheetId="4">#REF!</definedName>
    <definedName name="viar05" localSheetId="5">#REF!</definedName>
    <definedName name="viar05">#REF!</definedName>
    <definedName name="viar06" localSheetId="12">#REF!</definedName>
    <definedName name="viar06" localSheetId="17">#REF!</definedName>
    <definedName name="viar06" localSheetId="9">#REF!</definedName>
    <definedName name="viar06" localSheetId="10">#REF!</definedName>
    <definedName name="viar06" localSheetId="4">#REF!</definedName>
    <definedName name="viar06" localSheetId="5">#REF!</definedName>
    <definedName name="viar06">#REF!</definedName>
    <definedName name="viar07" localSheetId="12">#REF!</definedName>
    <definedName name="viar07" localSheetId="17">#REF!</definedName>
    <definedName name="viar07" localSheetId="9">#REF!</definedName>
    <definedName name="viar07" localSheetId="10">#REF!</definedName>
    <definedName name="viar07" localSheetId="4">#REF!</definedName>
    <definedName name="viar07" localSheetId="5">#REF!</definedName>
    <definedName name="viar07">#REF!</definedName>
    <definedName name="viar08" localSheetId="12">#REF!</definedName>
    <definedName name="viar08" localSheetId="17">#REF!</definedName>
    <definedName name="viar08" localSheetId="9">#REF!</definedName>
    <definedName name="viar08" localSheetId="10">#REF!</definedName>
    <definedName name="viar08" localSheetId="4">#REF!</definedName>
    <definedName name="viar08" localSheetId="5">#REF!</definedName>
    <definedName name="viar08">#REF!</definedName>
    <definedName name="viar09" localSheetId="12">#REF!</definedName>
    <definedName name="viar09" localSheetId="17">#REF!</definedName>
    <definedName name="viar09" localSheetId="9">#REF!</definedName>
    <definedName name="viar09" localSheetId="10">#REF!</definedName>
    <definedName name="viar09" localSheetId="4">#REF!</definedName>
    <definedName name="viar09" localSheetId="5">#REF!</definedName>
    <definedName name="viar09">#REF!</definedName>
    <definedName name="viar10" localSheetId="12">#REF!</definedName>
    <definedName name="viar10" localSheetId="17">#REF!</definedName>
    <definedName name="viar10" localSheetId="9">#REF!</definedName>
    <definedName name="viar10" localSheetId="10">#REF!</definedName>
    <definedName name="viar10" localSheetId="4">#REF!</definedName>
    <definedName name="viar10" localSheetId="5">#REF!</definedName>
    <definedName name="viar10">#REF!</definedName>
    <definedName name="viar11" localSheetId="12">#REF!</definedName>
    <definedName name="viar11" localSheetId="17">#REF!</definedName>
    <definedName name="viar11" localSheetId="9">#REF!</definedName>
    <definedName name="viar11" localSheetId="10">#REF!</definedName>
    <definedName name="viar11" localSheetId="4">#REF!</definedName>
    <definedName name="viar11" localSheetId="5">#REF!</definedName>
    <definedName name="viar11">#REF!</definedName>
    <definedName name="viar12" localSheetId="12">#REF!</definedName>
    <definedName name="viar12" localSheetId="17">#REF!</definedName>
    <definedName name="viar12" localSheetId="9">#REF!</definedName>
    <definedName name="viar12" localSheetId="10">#REF!</definedName>
    <definedName name="viar12" localSheetId="4">#REF!</definedName>
    <definedName name="viar12" localSheetId="5">#REF!</definedName>
    <definedName name="viar12">#REF!</definedName>
    <definedName name="viar13" localSheetId="12">#REF!</definedName>
    <definedName name="viar13" localSheetId="17">#REF!</definedName>
    <definedName name="viar13" localSheetId="9">#REF!</definedName>
    <definedName name="viar13" localSheetId="10">#REF!</definedName>
    <definedName name="viar13" localSheetId="4">#REF!</definedName>
    <definedName name="viar13" localSheetId="5">#REF!</definedName>
    <definedName name="viar13">#REF!</definedName>
    <definedName name="viar14" localSheetId="12">#REF!</definedName>
    <definedName name="viar14" localSheetId="17">#REF!</definedName>
    <definedName name="viar14" localSheetId="9">#REF!</definedName>
    <definedName name="viar14" localSheetId="10">#REF!</definedName>
    <definedName name="viar14" localSheetId="4">#REF!</definedName>
    <definedName name="viar14" localSheetId="5">#REF!</definedName>
    <definedName name="viar14">#REF!</definedName>
    <definedName name="viar15" localSheetId="12">#REF!</definedName>
    <definedName name="viar15" localSheetId="17">#REF!</definedName>
    <definedName name="viar15" localSheetId="9">#REF!</definedName>
    <definedName name="viar15" localSheetId="10">#REF!</definedName>
    <definedName name="viar15" localSheetId="4">#REF!</definedName>
    <definedName name="viar15" localSheetId="5">#REF!</definedName>
    <definedName name="viar15">#REF!</definedName>
    <definedName name="viar16" localSheetId="12">#REF!</definedName>
    <definedName name="viar16" localSheetId="17">#REF!</definedName>
    <definedName name="viar16" localSheetId="9">#REF!</definedName>
    <definedName name="viar16" localSheetId="10">#REF!</definedName>
    <definedName name="viar16" localSheetId="4">#REF!</definedName>
    <definedName name="viar16" localSheetId="5">#REF!</definedName>
    <definedName name="viar16">#REF!</definedName>
    <definedName name="viaw01" localSheetId="12">#REF!</definedName>
    <definedName name="viaw01" localSheetId="17">#REF!</definedName>
    <definedName name="viaw01" localSheetId="9">#REF!</definedName>
    <definedName name="viaw01" localSheetId="10">#REF!</definedName>
    <definedName name="viaw01" localSheetId="4">#REF!</definedName>
    <definedName name="viaw01" localSheetId="5">#REF!</definedName>
    <definedName name="viaw01">#REF!</definedName>
    <definedName name="viaw02" localSheetId="12">#REF!</definedName>
    <definedName name="viaw02" localSheetId="17">#REF!</definedName>
    <definedName name="viaw02" localSheetId="9">#REF!</definedName>
    <definedName name="viaw02" localSheetId="10">#REF!</definedName>
    <definedName name="viaw02" localSheetId="4">#REF!</definedName>
    <definedName name="viaw02" localSheetId="5">#REF!</definedName>
    <definedName name="viaw02">#REF!</definedName>
    <definedName name="viaw03" localSheetId="12">#REF!</definedName>
    <definedName name="viaw03" localSheetId="17">#REF!</definedName>
    <definedName name="viaw03" localSheetId="9">#REF!</definedName>
    <definedName name="viaw03" localSheetId="10">#REF!</definedName>
    <definedName name="viaw03" localSheetId="4">#REF!</definedName>
    <definedName name="viaw03" localSheetId="5">#REF!</definedName>
    <definedName name="viaw03">#REF!</definedName>
    <definedName name="viaw04" localSheetId="12">#REF!</definedName>
    <definedName name="viaw04" localSheetId="17">#REF!</definedName>
    <definedName name="viaw04" localSheetId="9">#REF!</definedName>
    <definedName name="viaw04" localSheetId="10">#REF!</definedName>
    <definedName name="viaw04" localSheetId="4">#REF!</definedName>
    <definedName name="viaw04" localSheetId="5">#REF!</definedName>
    <definedName name="viaw04">#REF!</definedName>
    <definedName name="viaw05" localSheetId="12">#REF!</definedName>
    <definedName name="viaw05" localSheetId="17">#REF!</definedName>
    <definedName name="viaw05" localSheetId="9">#REF!</definedName>
    <definedName name="viaw05" localSheetId="10">#REF!</definedName>
    <definedName name="viaw05" localSheetId="4">#REF!</definedName>
    <definedName name="viaw05" localSheetId="5">#REF!</definedName>
    <definedName name="viaw05">#REF!</definedName>
    <definedName name="viaw06" localSheetId="12">#REF!</definedName>
    <definedName name="viaw06" localSheetId="17">#REF!</definedName>
    <definedName name="viaw06" localSheetId="9">#REF!</definedName>
    <definedName name="viaw06" localSheetId="10">#REF!</definedName>
    <definedName name="viaw06" localSheetId="4">#REF!</definedName>
    <definedName name="viaw06" localSheetId="5">#REF!</definedName>
    <definedName name="viaw06">#REF!</definedName>
    <definedName name="viaw07" localSheetId="12">#REF!</definedName>
    <definedName name="viaw07" localSheetId="17">#REF!</definedName>
    <definedName name="viaw07" localSheetId="9">#REF!</definedName>
    <definedName name="viaw07" localSheetId="10">#REF!</definedName>
    <definedName name="viaw07" localSheetId="4">#REF!</definedName>
    <definedName name="viaw07" localSheetId="5">#REF!</definedName>
    <definedName name="viaw07">#REF!</definedName>
    <definedName name="viaw08" localSheetId="12">#REF!</definedName>
    <definedName name="viaw08" localSheetId="17">#REF!</definedName>
    <definedName name="viaw08" localSheetId="9">#REF!</definedName>
    <definedName name="viaw08" localSheetId="10">#REF!</definedName>
    <definedName name="viaw08" localSheetId="4">#REF!</definedName>
    <definedName name="viaw08" localSheetId="5">#REF!</definedName>
    <definedName name="viaw08">#REF!</definedName>
    <definedName name="viaw09" localSheetId="12">#REF!</definedName>
    <definedName name="viaw09" localSheetId="17">#REF!</definedName>
    <definedName name="viaw09" localSheetId="9">#REF!</definedName>
    <definedName name="viaw09" localSheetId="10">#REF!</definedName>
    <definedName name="viaw09" localSheetId="4">#REF!</definedName>
    <definedName name="viaw09" localSheetId="5">#REF!</definedName>
    <definedName name="viaw09">#REF!</definedName>
    <definedName name="viaw10" localSheetId="12">#REF!</definedName>
    <definedName name="viaw10" localSheetId="17">#REF!</definedName>
    <definedName name="viaw10" localSheetId="9">#REF!</definedName>
    <definedName name="viaw10" localSheetId="10">#REF!</definedName>
    <definedName name="viaw10" localSheetId="4">#REF!</definedName>
    <definedName name="viaw10" localSheetId="5">#REF!</definedName>
    <definedName name="viaw10">#REF!</definedName>
    <definedName name="viaw11" localSheetId="12">#REF!</definedName>
    <definedName name="viaw11" localSheetId="17">#REF!</definedName>
    <definedName name="viaw11" localSheetId="9">#REF!</definedName>
    <definedName name="viaw11" localSheetId="10">#REF!</definedName>
    <definedName name="viaw11" localSheetId="4">#REF!</definedName>
    <definedName name="viaw11" localSheetId="5">#REF!</definedName>
    <definedName name="viaw11">#REF!</definedName>
    <definedName name="viaw12" localSheetId="12">#REF!</definedName>
    <definedName name="viaw12" localSheetId="17">#REF!</definedName>
    <definedName name="viaw12" localSheetId="9">#REF!</definedName>
    <definedName name="viaw12" localSheetId="10">#REF!</definedName>
    <definedName name="viaw12" localSheetId="4">#REF!</definedName>
    <definedName name="viaw12" localSheetId="5">#REF!</definedName>
    <definedName name="viaw12">#REF!</definedName>
    <definedName name="viaw13" localSheetId="12">#REF!</definedName>
    <definedName name="viaw13" localSheetId="17">#REF!</definedName>
    <definedName name="viaw13" localSheetId="9">#REF!</definedName>
    <definedName name="viaw13" localSheetId="10">#REF!</definedName>
    <definedName name="viaw13" localSheetId="4">#REF!</definedName>
    <definedName name="viaw13" localSheetId="5">#REF!</definedName>
    <definedName name="viaw13">#REF!</definedName>
    <definedName name="viaw14" localSheetId="12">#REF!</definedName>
    <definedName name="viaw14" localSheetId="17">#REF!</definedName>
    <definedName name="viaw14" localSheetId="9">#REF!</definedName>
    <definedName name="viaw14" localSheetId="10">#REF!</definedName>
    <definedName name="viaw14" localSheetId="4">#REF!</definedName>
    <definedName name="viaw14" localSheetId="5">#REF!</definedName>
    <definedName name="viaw14">#REF!</definedName>
    <definedName name="viaw15" localSheetId="12">#REF!</definedName>
    <definedName name="viaw15" localSheetId="17">#REF!</definedName>
    <definedName name="viaw15" localSheetId="9">#REF!</definedName>
    <definedName name="viaw15" localSheetId="10">#REF!</definedName>
    <definedName name="viaw15" localSheetId="4">#REF!</definedName>
    <definedName name="viaw15" localSheetId="5">#REF!</definedName>
    <definedName name="viaw15">#REF!</definedName>
    <definedName name="viaw16" localSheetId="12">#REF!</definedName>
    <definedName name="viaw16" localSheetId="17">#REF!</definedName>
    <definedName name="viaw16" localSheetId="9">#REF!</definedName>
    <definedName name="viaw16" localSheetId="10">#REF!</definedName>
    <definedName name="viaw16" localSheetId="4">#REF!</definedName>
    <definedName name="viaw16" localSheetId="5">#REF!</definedName>
    <definedName name="viaw16">#REF!</definedName>
    <definedName name="vibtotal" localSheetId="12">#REF!</definedName>
    <definedName name="vibtotal" localSheetId="17">#REF!</definedName>
    <definedName name="vibtotal" localSheetId="9">#REF!</definedName>
    <definedName name="vibtotal" localSheetId="10">#REF!</definedName>
    <definedName name="vibtotal" localSheetId="4">#REF!</definedName>
    <definedName name="vibtotal" localSheetId="5">#REF!</definedName>
    <definedName name="vibtotal">#REF!</definedName>
    <definedName name="WorkingPeriod">'[7]FE-1770-I'!$AG$9</definedName>
    <definedName name="WORKPERIOD" localSheetId="2">'[1]GENERAL INFO'!$V$118</definedName>
    <definedName name="WORKPERIOD" localSheetId="4">'[2]GENERAL INFO'!$V$118</definedName>
    <definedName name="WORKPERIOD" localSheetId="5">'GENERAL INFO'!$V$109</definedName>
    <definedName name="WORKPERIOD">'GENERAL INFO'!$V$109</definedName>
    <definedName name="workperiode">'[4]GENERAL INFO'!$V$103</definedName>
    <definedName name="Year0" localSheetId="12">'[13]FE-1770 S.P1'!#REF!</definedName>
    <definedName name="Year0" localSheetId="17">'[13]FE-1770 S.P1'!#REF!</definedName>
    <definedName name="Year0" localSheetId="9">'[13]FE-1770 S.P1'!#REF!</definedName>
    <definedName name="Year0" localSheetId="10">'[13]FE-1770 S.P1'!#REF!</definedName>
    <definedName name="Year0" localSheetId="4">'[13]FE-1770 S.P1'!#REF!</definedName>
    <definedName name="Year0" localSheetId="5">'[13]FE-1770 S.P1'!#REF!</definedName>
    <definedName name="Year0">'[13]FE-1770 S.P1'!#REF!</definedName>
    <definedName name="year01" localSheetId="2">'[1]GENERAL INFO'!$F$40</definedName>
    <definedName name="year01" localSheetId="4">'[2]GENERAL INFO'!$F$40</definedName>
    <definedName name="year01" localSheetId="5">'GENERAL INFO'!$F$31</definedName>
    <definedName name="year01">'GENERAL INFO'!$F$31</definedName>
    <definedName name="year02" localSheetId="2">'[1]GENERAL INFO'!$G$40</definedName>
    <definedName name="year02" localSheetId="4">'[2]GENERAL INFO'!$G$40</definedName>
    <definedName name="year02" localSheetId="5">'GENERAL INFO'!$G$31</definedName>
    <definedName name="year02">'GENERAL INFO'!$G$31</definedName>
    <definedName name="year03" localSheetId="2">'[1]GENERAL INFO'!$H$40</definedName>
    <definedName name="year03" localSheetId="4">'[2]GENERAL INFO'!$H$40</definedName>
    <definedName name="year03" localSheetId="5">'GENERAL INFO'!$H$31</definedName>
    <definedName name="year03">'GENERAL INFO'!$H$31</definedName>
    <definedName name="year04" localSheetId="2">'[1]GENERAL INFO'!$I$40</definedName>
    <definedName name="year04" localSheetId="4">'[2]GENERAL INFO'!$I$40</definedName>
    <definedName name="year04" localSheetId="5">'GENERAL INFO'!$I$31</definedName>
    <definedName name="year04">'GENERAL INFO'!$I$31</definedName>
  </definedNames>
  <calcPr fullPrecision="1" calcMode="auto" calcId="162913"/>
  <x:fileRecoveryPr xmlns:x="http://schemas.openxmlformats.org/spreadsheetml/2006/main" repairLoad="1"/>
</workbook>
</file>

<file path=xl/sharedStrings.xml><?xml version="1.0" encoding="utf-8"?>
<sst xmlns="http://schemas.openxmlformats.org/spreadsheetml/2006/main" uniqueCount="1468">
  <si>
    <t>IDENTITAS</t>
  </si>
  <si>
    <t>PENGHASILAN NETO LUAR NEGERI</t>
  </si>
  <si>
    <t>PENGHASILAN TIDAK KENA PAJAK</t>
  </si>
  <si>
    <t xml:space="preserve">PPh TERUTANG </t>
  </si>
  <si>
    <t>PENGEMBALIAN / PENGURANGAN PPh PASAL 24 YANG TELAH DIKREDITKAN</t>
  </si>
  <si>
    <t>PPh YANG LEBIH DIPOTONG/DIPUNGUT</t>
  </si>
  <si>
    <t>a.</t>
  </si>
  <si>
    <t>b.</t>
  </si>
  <si>
    <t>c.</t>
  </si>
  <si>
    <t>a. PPh YANG KURANG DIBAYAR (PPh PASAL 29)</t>
  </si>
  <si>
    <t>b. PPh YANG LEBIH DIBAYAR (PPh PASAL 28 A)</t>
  </si>
  <si>
    <t>PENGHITUNGAN DALAM LAMPIRAN TERSENDIRI</t>
  </si>
  <si>
    <t>TANDA TANGAN</t>
  </si>
  <si>
    <t>WAJIB PAJAK</t>
  </si>
  <si>
    <t>KUASA</t>
  </si>
  <si>
    <t>1770 S</t>
  </si>
  <si>
    <t>PENGHASILAN NETO DALAM NEGERI LAINNYA</t>
  </si>
  <si>
    <t>JUMLAH PENGHASILAN NETO (1+2+3)</t>
  </si>
  <si>
    <t>PENGHASILAN KENA PAJAK (6-7)</t>
  </si>
  <si>
    <t>PPh YANG DIBAYAR SENDIRI</t>
  </si>
  <si>
    <t>PPh YANG HARUS DIBAYAR SENDIRI</t>
  </si>
  <si>
    <t>PPh PASAL 25</t>
  </si>
  <si>
    <t>STP PPh Pasal 25 (Hanya Pokok Pajak)</t>
  </si>
  <si>
    <t>•</t>
  </si>
  <si>
    <t>Surat Kuasa Khusus (Bila dikuasakan)</t>
  </si>
  <si>
    <t>NPWP</t>
  </si>
  <si>
    <t>:</t>
  </si>
  <si>
    <t>NAMA WAJIB PAJAK</t>
  </si>
  <si>
    <t>PEKERJAAN</t>
  </si>
  <si>
    <t>TAHUN PAJAK</t>
  </si>
  <si>
    <t>-</t>
  </si>
  <si>
    <t>DIREKTORAT JENDERAL PAJAK</t>
  </si>
  <si>
    <t>PENGHASILAN YANG TIDAK TERMASUK OBJEK PAJAK</t>
  </si>
  <si>
    <t>N P W P</t>
  </si>
  <si>
    <t>NAMA LENGKAP</t>
  </si>
  <si>
    <t>SEBELUM MENGISI BACA DAHULU BUKU PETUNJUK PENGISIAN</t>
  </si>
  <si>
    <t>ISI DENGAN HURUF CETAK /DIKETIK DENGAN TINTA HITAM</t>
  </si>
  <si>
    <t>BERI TANDA "X" PADA</t>
  </si>
  <si>
    <t>FORMULIR</t>
  </si>
  <si>
    <t>BAGIAN A</t>
  </si>
  <si>
    <t>JENIS PENGHASILAN</t>
  </si>
  <si>
    <t>Bunga</t>
  </si>
  <si>
    <t>Royalti</t>
  </si>
  <si>
    <t>Sewa</t>
  </si>
  <si>
    <t>Penghargaan dan Hadiah</t>
  </si>
  <si>
    <t>Penghasilan Lainnya</t>
  </si>
  <si>
    <t>BAGIAN B</t>
  </si>
  <si>
    <t>Warisan</t>
  </si>
  <si>
    <t>Klaim Asuransi Kesehatan, Kecelakaan, Jiwa, Dwiguna, Beasiswa</t>
  </si>
  <si>
    <t>SUMBER/JENIS PENGHASILAN</t>
  </si>
  <si>
    <t>TANGGAL</t>
  </si>
  <si>
    <t>Hadiah Undian</t>
  </si>
  <si>
    <t>DIRESTITUSIKAN</t>
  </si>
  <si>
    <t>14a</t>
  </si>
  <si>
    <t>14b</t>
  </si>
  <si>
    <t>SPT TAHUNAN PPh WAJIB PAJAK ORANG PRIBADI</t>
  </si>
  <si>
    <t>TGL</t>
  </si>
  <si>
    <t>BLN</t>
  </si>
  <si>
    <t>THN</t>
  </si>
  <si>
    <t>BAGIAN C</t>
  </si>
  <si>
    <t>Catatan :</t>
  </si>
  <si>
    <t xml:space="preserve">NAMA WAJIB PAJAK   </t>
  </si>
  <si>
    <t>*)</t>
  </si>
  <si>
    <t>(11-12)</t>
  </si>
  <si>
    <t>(2)</t>
  </si>
  <si>
    <t>(1)</t>
  </si>
  <si>
    <t>(3)</t>
  </si>
  <si>
    <t>(4)</t>
  </si>
  <si>
    <t>(5)</t>
  </si>
  <si>
    <t xml:space="preserve">HARGA PEROLEHAN </t>
  </si>
  <si>
    <t>(Rupiah)</t>
  </si>
  <si>
    <t xml:space="preserve">TAHUN </t>
  </si>
  <si>
    <t>PEROLEHAN</t>
  </si>
  <si>
    <t>KETERANGAN</t>
  </si>
  <si>
    <t>JUMLAH</t>
  </si>
  <si>
    <t>PEMBERI PINJAMAN</t>
  </si>
  <si>
    <t>NO.</t>
  </si>
  <si>
    <t xml:space="preserve">ANGSURAN PPh PASAL 25 TAHUN PAJAK BERIKUTNYA SEBESAR </t>
  </si>
  <si>
    <t xml:space="preserve">SPT TAHUNAN </t>
  </si>
  <si>
    <t>………………………………………</t>
  </si>
  <si>
    <t>……………………………………………………………………………</t>
  </si>
  <si>
    <t>Perkumpulan, Firma, Kongsi</t>
  </si>
  <si>
    <t>1770 S - I</t>
  </si>
  <si>
    <t>- DTP : Ditanggung Pemerintah</t>
  </si>
  <si>
    <t>NO</t>
  </si>
  <si>
    <t>1770 S - II</t>
  </si>
  <si>
    <t xml:space="preserve">Pesangon, Tunjangan Hari Tua dan Tebusan Pensiun </t>
  </si>
  <si>
    <t>F.1.1.32.18</t>
  </si>
  <si>
    <t>………………………………………………………………………………………</t>
  </si>
  <si>
    <t>PERNYATAAN</t>
  </si>
  <si>
    <t>A. PENGHASILAN NETO</t>
  </si>
  <si>
    <t>B.PENGHASILAN KENA PAJAK</t>
  </si>
  <si>
    <t>C. PPh TERUTANG</t>
  </si>
  <si>
    <t>D. KREDIT PAJAK</t>
  </si>
  <si>
    <t>F. ANGSURAN PPh PASAL 25 TAHUN PAJAK BERIKUTNYA</t>
  </si>
  <si>
    <t>G. LAMPIRAN</t>
  </si>
  <si>
    <t>PEMUNGUT PAJAK</t>
  </si>
  <si>
    <t>BUKTI PEMOTONGAN/</t>
  </si>
  <si>
    <t>PPh PASAL 21/</t>
  </si>
  <si>
    <t>PENGHASILAN NETO DALAM NEGERI SEHUBUNGAN DENGAN PEKERJAAN</t>
  </si>
  <si>
    <t>(6)</t>
  </si>
  <si>
    <t>PAJAK PENGHASILAN WAJIB PAJAK  ORANG PRIBADI</t>
  </si>
  <si>
    <t xml:space="preserve">1/12 x JUMLAH PADA ANGKA 13 </t>
  </si>
  <si>
    <t>ALAMAT</t>
  </si>
  <si>
    <t xml:space="preserve">NAMA </t>
  </si>
  <si>
    <t>PEMUNGUTAN</t>
  </si>
  <si>
    <t xml:space="preserve">JUMLAH PPh YANG </t>
  </si>
  <si>
    <t>DIPOTONG / DIPUNGUT</t>
  </si>
  <si>
    <t>JBA</t>
  </si>
  <si>
    <t>JUMLAH BAGIAN A</t>
  </si>
  <si>
    <t>JUMLAH BAGIAN B</t>
  </si>
  <si>
    <t>JBB</t>
  </si>
  <si>
    <t xml:space="preserve">[Diisi sesuai dengan Formulir 1770 S-I Jumlah Bagian A ] </t>
  </si>
  <si>
    <t>JUMLAH KREDIT PAJAK (14a + 14b + 14c)</t>
  </si>
  <si>
    <t>(13-15)</t>
  </si>
  <si>
    <t>…………………………………………………………………………………………….</t>
  </si>
  <si>
    <t>……………………………………………………………………</t>
  </si>
  <si>
    <t>………………………………………………………</t>
  </si>
  <si>
    <t>……………………………………………………………………………………………</t>
  </si>
  <si>
    <t>JBC</t>
  </si>
  <si>
    <t>JUMLAH BAGIAN C</t>
  </si>
  <si>
    <t>……………………………………………………………………………………………………………………..</t>
  </si>
  <si>
    <t xml:space="preserve">DASAR PENGENAAN PAJAK/ </t>
  </si>
  <si>
    <t>PENGHASILAN BRUTO</t>
  </si>
  <si>
    <t>PEMINJAMAN</t>
  </si>
  <si>
    <t>KLU :</t>
  </si>
  <si>
    <t>Bantuan / Sumbangan / Hibah</t>
  </si>
  <si>
    <t xml:space="preserve">Bagian Laba Anggota Perseroan Komanditer Tidak Atas Saham, Persekutuan, </t>
  </si>
  <si>
    <t>Penghasilan Lainnya yang Tidak Termasuk Objek Pajak</t>
  </si>
  <si>
    <t>dst</t>
  </si>
  <si>
    <t>Penjualan Saham di Bursa Efek</t>
  </si>
  <si>
    <t>atau Bersifat Final</t>
  </si>
  <si>
    <t>JUMLAH PPh TERUTANG (9+10)</t>
  </si>
  <si>
    <t>NPWP PEMOTONG/</t>
  </si>
  <si>
    <t xml:space="preserve">Dengan menyadari sepenuhnya akan segala akibatnya termasuk sanksi-sanksi sesuai dengan ketentuan peraturan </t>
  </si>
  <si>
    <t>NAMA PEMOTONG/</t>
  </si>
  <si>
    <t xml:space="preserve">JUMLAH PENGHASILAN </t>
  </si>
  <si>
    <t>JIKA FORMULIR INI TIDAK MENCUKUPI, DAPAT DIBUAT SENDIRI SESUAI DENGAN BENTUK INI</t>
  </si>
  <si>
    <t>(TARIF PASAL 17 UU PPh x ANGKA 8)</t>
  </si>
  <si>
    <t xml:space="preserve">Pindahkan Jumlah Bagian A ke Formulir Induk 1770 S Bagian A </t>
  </si>
  <si>
    <t xml:space="preserve">Pindahkan Jumlah Bagian C ke Formulir Induk </t>
  </si>
  <si>
    <t>Halaman ke-</t>
  </si>
  <si>
    <t xml:space="preserve">dari </t>
  </si>
  <si>
    <t>- Jika terdapat kredit pajak PPh Pasal 24, maka jumlah yang diisi adalah maksimum yang dapat dikreditkan sesuai lampiran tersendiri</t>
  </si>
  <si>
    <t>Dividen</t>
  </si>
  <si>
    <t>d.</t>
  </si>
  <si>
    <t>e.</t>
  </si>
  <si>
    <t xml:space="preserve">    (KOTAK PILIHAN) YANG SESUAI</t>
  </si>
  <si>
    <t>TGL LUNAS</t>
  </si>
  <si>
    <t>LAMPIRAN - II</t>
  </si>
  <si>
    <t>LAMPIRAN - I</t>
  </si>
  <si>
    <t>E. PPh KURANG/LEBIH BAYAR</t>
  </si>
  <si>
    <t>Fotokopi Formulir 1721-A1 atau 1721-A2 atau Bukti Potong PPh Pasal 21</t>
  </si>
  <si>
    <t>NOMOR</t>
  </si>
  <si>
    <t>(7)</t>
  </si>
  <si>
    <t>Perdagangannya di Bursa Efek</t>
  </si>
  <si>
    <t>Honorarium atas Beban APBN/APBD</t>
  </si>
  <si>
    <t>JENIS PAJAK :</t>
  </si>
  <si>
    <t>………………………………………………………………………………………………………………………….</t>
  </si>
  <si>
    <t>……………………………………………………..</t>
  </si>
  <si>
    <t>- Kolom (6) diisi dengan pilihan PPh Pasal 21/22/23/24/26/DTP (Contoh : ditulis 21, 22, 23, 24, 26, DTP)</t>
  </si>
  <si>
    <t>[Apabila memiliki penghasilan dari luar negeri agar diisi dari Lampiran Tersendiri, lihat buku petunjuk]</t>
  </si>
  <si>
    <t>NO. TELEPON</t>
  </si>
  <si>
    <t>NO. FAKS</t>
  </si>
  <si>
    <t>TK/</t>
  </si>
  <si>
    <t>K/</t>
  </si>
  <si>
    <t>K/I/</t>
  </si>
  <si>
    <t xml:space="preserve">   (lihat buku petunjuk tentang Lampiran I Bagian C dan Induk SPT angka 3)</t>
  </si>
  <si>
    <t>halaman Lampiran-I</t>
  </si>
  <si>
    <t>halaman Lampiran-II</t>
  </si>
  <si>
    <t>RUPIAH *)</t>
  </si>
  <si>
    <r>
      <t xml:space="preserve">   *) </t>
    </r>
    <r>
      <rPr>
        <sz val="7"/>
        <rFont val="Arial"/>
        <charset val="0"/>
        <color theme="1"/>
      </rPr>
      <t>Pengisian kolom-kolom yang berisi nilai rupiah harus tanpa nilai desimal (contoh penulisan lihat buku petunjuk hal. 3)</t>
    </r>
  </si>
  <si>
    <t xml:space="preserve">Surat Setoran Pajak Lembar ke-3 PPh Pasal 29 </t>
  </si>
  <si>
    <t>PENGHASILAN YANG DIKENAKAN PPh FINAL DAN/ATAU BERSIFAT FINAL</t>
  </si>
  <si>
    <t>YANG DIKENAKAN PPh FINAL DAN/ATAU BERSIFAT FINAL</t>
  </si>
  <si>
    <t>NEGERI DAN/ATAU TERUTANG DI LUAR NEGERI  [Diisi dari Formulir 1770 S-I Jumlah Bagian C Kolom (7)]</t>
  </si>
  <si>
    <t>(Tidak Termasuk Penghasilan Dikenakan PPh Final dan/atau Bersifat Final)</t>
  </si>
  <si>
    <t>Pengalihan Hak atas Tanah dan/atau Bangunan</t>
  </si>
  <si>
    <t>Sewa atas Tanah dan/atau Bangunan</t>
  </si>
  <si>
    <t>Penghasilan Lain yang dikenakan Pajak Final dan/</t>
  </si>
  <si>
    <t>PPh YANG DIPOTONG/DIPUNGUT PIHAK LAIN/DITANGGUNG PEMERINTAH DAN/ATAU KREDIT PAJAK LUAR</t>
  </si>
  <si>
    <t>TAX ID NUMBER</t>
  </si>
  <si>
    <t>OCCUPATION</t>
  </si>
  <si>
    <t>………………………</t>
  </si>
  <si>
    <t>Date</t>
  </si>
  <si>
    <t>REFUND</t>
  </si>
  <si>
    <t>NET INCOME</t>
  </si>
  <si>
    <t>FAX NUMBER</t>
  </si>
  <si>
    <t>GROSS INCOME</t>
  </si>
  <si>
    <t>Rentals</t>
  </si>
  <si>
    <t>Inheritance</t>
  </si>
  <si>
    <t>Income Tax</t>
  </si>
  <si>
    <t>G E N E R A L   I N F O R M A T I O N</t>
  </si>
  <si>
    <t>A.   PERMANENT INFO</t>
  </si>
  <si>
    <t>npwp</t>
  </si>
  <si>
    <t>TAXPAYER'S NAME</t>
  </si>
  <si>
    <t xml:space="preserve">  </t>
  </si>
  <si>
    <t xml:space="preserve"> </t>
  </si>
  <si>
    <t>X</t>
  </si>
  <si>
    <t>B.   CURRENT-YEAR QUALITATIVE INFO</t>
  </si>
  <si>
    <t>WHAT YEAR</t>
  </si>
  <si>
    <t>2</t>
  </si>
  <si>
    <t>0</t>
  </si>
  <si>
    <t>Tax Year</t>
  </si>
  <si>
    <t>Tax Year End</t>
  </si>
  <si>
    <t>DATE OF DEPARTURE FROM INDONESIA</t>
  </si>
  <si>
    <t>(EPO DATE)</t>
  </si>
  <si>
    <t>TAX OVERPAYMENT</t>
  </si>
  <si>
    <t>TAX LIABILITES</t>
  </si>
  <si>
    <t>LIST OF ATTACHMENTS</t>
  </si>
  <si>
    <t>a</t>
  </si>
  <si>
    <t>COPY OF FORMS 1721A1/A2</t>
  </si>
  <si>
    <t>b</t>
  </si>
  <si>
    <t>c</t>
  </si>
  <si>
    <t>SSP PPH 29</t>
  </si>
  <si>
    <t>d</t>
  </si>
  <si>
    <t>e</t>
  </si>
  <si>
    <t>SIGNATORY</t>
  </si>
  <si>
    <t>TAXPAYER</t>
  </si>
  <si>
    <t>C   LIST OF FAMILY</t>
  </si>
  <si>
    <t>MARITAL STATUS</t>
  </si>
  <si>
    <t>DEPENDANTS</t>
  </si>
  <si>
    <t>PERSONAL RELIEFS</t>
  </si>
  <si>
    <t>No.</t>
  </si>
  <si>
    <t>Name</t>
  </si>
  <si>
    <t>Relationship</t>
  </si>
  <si>
    <t>Any Occupation?</t>
  </si>
  <si>
    <t>INCOME TAX WITHHELD</t>
  </si>
  <si>
    <t>Gross income</t>
  </si>
  <si>
    <t>Prizes from lotteries</t>
  </si>
  <si>
    <t>One time payment of severance pay, old-age savings and pension benefits</t>
  </si>
  <si>
    <t>State budget financed honorarium</t>
  </si>
  <si>
    <t>Rental of land and or building</t>
  </si>
  <si>
    <t>Other income which has been subject to final income tax</t>
  </si>
  <si>
    <t>Total</t>
  </si>
  <si>
    <t>Wife's employment income</t>
  </si>
  <si>
    <t>NON-ASSESSABLE INCOME</t>
  </si>
  <si>
    <t>Donations/Gifts/Grants</t>
  </si>
  <si>
    <t>Claim for health, accident, life, or schoolarship insurance</t>
  </si>
  <si>
    <t>Other non-assessable income</t>
  </si>
  <si>
    <t>TOTAL EXIT TAX</t>
  </si>
  <si>
    <t>A S S E T S   A N D   L I A B I L I T I E S</t>
  </si>
  <si>
    <t>ASSETS</t>
  </si>
  <si>
    <t>DESCRIPTION</t>
  </si>
  <si>
    <t>ACQUISITION/BALANCE DATE</t>
  </si>
  <si>
    <t>CURRENCY</t>
  </si>
  <si>
    <t>ACQUISITION PRICE/BALANCE</t>
  </si>
  <si>
    <t>IN ORG. CURRENCY</t>
  </si>
  <si>
    <t>APPLICABLE EXCH. RATE</t>
  </si>
  <si>
    <t>IN RUPIAH</t>
  </si>
  <si>
    <t>SUBTOTAL</t>
  </si>
  <si>
    <t>TOTAL ASSETS</t>
  </si>
  <si>
    <t>LIABILITIES</t>
  </si>
  <si>
    <t>BALANCE DATE</t>
  </si>
  <si>
    <t>OUSTANDING BALANCE</t>
  </si>
  <si>
    <t>TOTAL LIABILITIES</t>
  </si>
  <si>
    <t>Dividend</t>
  </si>
  <si>
    <t>PHONE NUMBER</t>
  </si>
  <si>
    <t xml:space="preserve">F   OTHER DOMESTIC NET INCOME </t>
  </si>
  <si>
    <t>Expenses</t>
  </si>
  <si>
    <t>Net Income</t>
  </si>
  <si>
    <t xml:space="preserve">Interest </t>
  </si>
  <si>
    <t>Royalty</t>
  </si>
  <si>
    <t>Prize and awards</t>
  </si>
  <si>
    <t>Gains on sales/transfer of assets</t>
  </si>
  <si>
    <t>Others</t>
  </si>
  <si>
    <t>Irregular items</t>
  </si>
  <si>
    <t>Tax on irregular items</t>
  </si>
  <si>
    <t>E   INDONESIAN EMPLOYMENT INCOME (AS STATED IN THE FORMS 1721A1/A2)</t>
  </si>
  <si>
    <t>EMPLOYER 1</t>
  </si>
  <si>
    <t>EMPLOYER 2</t>
  </si>
  <si>
    <t>EMPLOYER 3</t>
  </si>
  <si>
    <t>TOTAL</t>
  </si>
  <si>
    <t>QUALITATIVE INFO</t>
  </si>
  <si>
    <t>WORKING PERIOD</t>
  </si>
  <si>
    <t>s/d</t>
  </si>
  <si>
    <t>NUMBER OF PERIOD</t>
  </si>
  <si>
    <t>NAME OF EMPLOYER</t>
  </si>
  <si>
    <t>EMPLOYER'S TAX ID NUMBER</t>
  </si>
  <si>
    <t>NUMBER OF WITHHOLDING TAX SLIP</t>
  </si>
  <si>
    <t>DATE OF WITHHOLDING TAX SLIP</t>
  </si>
  <si>
    <t>ROUNDING DOWN</t>
  </si>
  <si>
    <t>QUANTITATIVE INFO</t>
  </si>
  <si>
    <t>a. Salaries/pension payment/old-age savings</t>
  </si>
  <si>
    <t>b. Income tax allowance</t>
  </si>
  <si>
    <t xml:space="preserve">c. Other allowances, cash compensation, overtime, etc. </t>
  </si>
  <si>
    <t xml:space="preserve">d. Honorarium, and other similar remuneration </t>
  </si>
  <si>
    <t>e. Employer-provided insurance premiums</t>
  </si>
  <si>
    <t>g. Tantiem,bonuses,gratuities,production comepnsation, THR</t>
  </si>
  <si>
    <t>h. TOTAL (a to g)</t>
  </si>
  <si>
    <t>DEDUCTIONS</t>
  </si>
  <si>
    <t xml:space="preserve">a. Occupational costs </t>
  </si>
  <si>
    <t>b. Pension costs</t>
  </si>
  <si>
    <t>c. Pension and old-age saving contributions</t>
  </si>
  <si>
    <t>d. TOTAL (a + b + c)</t>
  </si>
  <si>
    <t>D   SELF-PAID INCOME TAX</t>
  </si>
  <si>
    <t>MONTHLY INSTALMENT (PPh 25) PAYMENTS</t>
  </si>
  <si>
    <t>Month</t>
  </si>
  <si>
    <t>Instalment amount</t>
  </si>
  <si>
    <t>Reguler Payments</t>
  </si>
  <si>
    <t>Payments through STP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</si>
  <si>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</si>
  <si>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</si>
  <si>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</si>
  <si>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</si>
  <si>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</si>
  <si>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</si>
  <si>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</si>
  <si>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</si>
  <si>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</si>
  <si>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</si>
  <si>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</si>
  <si>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</si>
  <si>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 PPh 25 PAYMENTS</t>
  </si>
  <si>
    <t>REFUND OF PPh 24 WHICH HAS BEEN CREDITED</t>
  </si>
  <si>
    <t xml:space="preserve">G   INCOME SUBJECT TO FINAL TAX,  SEPARATELY TAXED INCOME, AND NON-ASSESSABLE INCOME </t>
  </si>
  <si>
    <t>VERSION 1 - ARTICLE 21 INCOME TAX CALCULATION IS ROUNDED DOWN</t>
  </si>
  <si>
    <t>INDIVIDUAL INCOME TAX CALCULATION</t>
  </si>
  <si>
    <t xml:space="preserve"> NET INCOME </t>
  </si>
  <si>
    <t>Net employment income</t>
  </si>
  <si>
    <t>Net employment bonus</t>
  </si>
  <si>
    <t>Subtotal net employment income &amp; bonus</t>
  </si>
  <si>
    <t>Other domestic net income</t>
  </si>
  <si>
    <t>Overseas net income</t>
  </si>
  <si>
    <t>Total net income</t>
  </si>
  <si>
    <t>ANNUALIZED NET INCOME</t>
  </si>
  <si>
    <t>ANNUALIZED TAX BASE</t>
  </si>
  <si>
    <t>Employment income</t>
  </si>
  <si>
    <t>Employment bonus</t>
  </si>
  <si>
    <t>Total employment income + bonus</t>
  </si>
  <si>
    <t>Total annualized net income</t>
  </si>
  <si>
    <t>ANNUALIZED TAXABLE INCOME</t>
  </si>
  <si>
    <t>ANNUALIZED INCOME TAX DUE</t>
  </si>
  <si>
    <t>Subtotal employment income and bonus</t>
  </si>
  <si>
    <t>On other income</t>
  </si>
  <si>
    <t>Total annualized income tax due</t>
  </si>
  <si>
    <t>Tax base</t>
  </si>
  <si>
    <t>ACTUAL INCOME TAX DUE</t>
  </si>
  <si>
    <t>Total actual income tax due</t>
  </si>
  <si>
    <t>ANNUALIZED REGULAR NET INCOME</t>
  </si>
  <si>
    <t xml:space="preserve">Net employment income </t>
  </si>
  <si>
    <t>Irregular domestic net income</t>
  </si>
  <si>
    <t>Regular domestic net income</t>
  </si>
  <si>
    <t>Irregular overseas net income</t>
  </si>
  <si>
    <t>Regular overseas net income</t>
  </si>
  <si>
    <t>Total annualized regular net income</t>
  </si>
  <si>
    <t xml:space="preserve">PERSONAL RELIEFS </t>
  </si>
  <si>
    <t>Total annualized tax base</t>
  </si>
  <si>
    <t>TAX CREDIT</t>
  </si>
  <si>
    <t>Art. 21 income tax</t>
  </si>
  <si>
    <t>Total tax credit</t>
  </si>
  <si>
    <t>TAX BASE TO CALCULATE ART. 25</t>
  </si>
  <si>
    <t>NUMBER OF TAX PERIODS</t>
  </si>
  <si>
    <t xml:space="preserve">MONTHLY PPh 25 </t>
  </si>
  <si>
    <t xml:space="preserve">VERSION 2 - ARTICLE 21 INCOME TAX CALCULATION IS NOT ROUNDED </t>
  </si>
  <si>
    <t>ANNUALIZED TAX DUE</t>
  </si>
  <si>
    <t>LAMPIRAN SPT TAHUNAN WP ORANG PRIBADI</t>
  </si>
  <si>
    <t>Jumlah penghasilan neto</t>
  </si>
  <si>
    <t xml:space="preserve">PERHITUNGAN CICILAN PPh PASAL 25 </t>
  </si>
  <si>
    <t>UNTUK TAHUN PAJAK</t>
  </si>
  <si>
    <t>DIKURANGI: PENGHASILAN NETO TIDAK TERATUR</t>
  </si>
  <si>
    <t>PENGHASILAN NETO TERATUR YANG DISETAHUNKAN</t>
  </si>
  <si>
    <t>PENGHASILAN KENA PAJAK NOSIONAL</t>
  </si>
  <si>
    <t>PAJAK PENGHASILAN YANG TERHUTANG NOSIONAL</t>
  </si>
  <si>
    <t>DIKURANGI:</t>
  </si>
  <si>
    <t>DASAR UNTUK MENGHITUNG PPh PASAL 25</t>
  </si>
  <si>
    <t>JUMLAH MASA PAJAK (BULAN)</t>
  </si>
  <si>
    <t>MONTHLY INSTALMENT FOR NEXT YEAR, IF FILE RETURNS FOR TWO CONSECUTIVE YEARS TOGETHER, CLICK THIS BOX</t>
  </si>
  <si>
    <t xml:space="preserve"> TAX ID NUMBER</t>
  </si>
  <si>
    <t>PROXY    NAME</t>
  </si>
  <si>
    <t>IRREGULAR INCOME/TAX PAID</t>
  </si>
  <si>
    <t>CALCULATION OF MONTHLY PPh 25 INSTALLMENTS</t>
  </si>
  <si>
    <t>DATE OF PPh 29 PAYMENT (dd/mm/yy)</t>
  </si>
  <si>
    <t xml:space="preserve">TOTAL PPh 25 CLAIMED </t>
  </si>
  <si>
    <t>PPH 29 PAID VIA EXTENSION</t>
  </si>
  <si>
    <t>A</t>
  </si>
  <si>
    <t>(INCLUDING PPH 29 PAID DURING EXTENSION)</t>
  </si>
  <si>
    <t>1a</t>
  </si>
  <si>
    <t>Penghasilan bruto dari pekerjaan &amp; bonus</t>
  </si>
  <si>
    <t>Penghasilan bruto dalam negeri lainnya</t>
  </si>
  <si>
    <t>Penghasilan bruto luar negeri</t>
  </si>
  <si>
    <t>2009 Onward Personal Relief</t>
  </si>
  <si>
    <t>SPT PEMBETULAN KE-…</t>
  </si>
  <si>
    <t>PERHATIAN :</t>
  </si>
  <si>
    <t>[Diisi akumulasi jumlah penghasilan neto pada setiap Formulir 1721-A1 dan/atau 1721-A2 angka 14 yang dilampirkan atau Bukti Potong lain]</t>
  </si>
  <si>
    <t>ZAKAT/SUMBANGAN KEAGAMAAN YANG SIFATNYA WAJIB</t>
  </si>
  <si>
    <t>1.</t>
  </si>
  <si>
    <t>2.</t>
  </si>
  <si>
    <t>3.</t>
  </si>
  <si>
    <t>4.</t>
  </si>
  <si>
    <t>5.</t>
  </si>
  <si>
    <t>6.</t>
  </si>
  <si>
    <t>YANG SIFATNYA WAJIB (4 - 5)</t>
  </si>
  <si>
    <t>JUMLAH PENGHASILAN NETO SETELAH PENGURANGAN ZAKAT /SUMBANGAN KEAGAMAAN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</si>
  <si>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</si>
  <si>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</si>
  <si>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</si>
  <si>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</si>
  <si>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</si>
  <si>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</si>
  <si>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</si>
  <si>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</si>
  <si>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</si>
  <si>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</si>
  <si>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</si>
  <si>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</si>
  <si>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PERMOHONAN : PPh Lebih Bayar pada 16b mohon:</t>
  </si>
  <si>
    <t>RETURN WITH SKPPKP ART. 17 C (OBEDIENT TAXPAYER)</t>
  </si>
  <si>
    <t>RETURN WITH SKKPP ART. 17 D (CERTAIN TAXPAYER)</t>
  </si>
  <si>
    <t xml:space="preserve">c. </t>
  </si>
  <si>
    <t xml:space="preserve">d. </t>
  </si>
  <si>
    <t>PAJAK</t>
  </si>
  <si>
    <t>DIPERHITUNGKAN DENGAN UTANG</t>
  </si>
  <si>
    <t>DIHITUNG BERDASARKAN:</t>
  </si>
  <si>
    <t>PROXY (WHERE RELEVANT)</t>
  </si>
  <si>
    <t>TAX LIABILITIES CALCULATION FOR TAXPAYER WITH PRENUPTIAL AGREEMENT AND/OR HAS OWN TAX ID NUMBER</t>
  </si>
  <si>
    <t>Perhitungan PPh Terutang Bagi Wajib Pajak Kawin Pisah Harta dan/atau Mempunyai NPWP Sendiri</t>
  </si>
  <si>
    <t>adalah benar, lengkap dan jelas.</t>
  </si>
  <si>
    <t>perundang-undangan yang berlaku, saya menyatakan bahwa yang telah beritahukan di atas beserta lampiran-lampirannya</t>
  </si>
  <si>
    <t xml:space="preserve">DAFTAR PEMOTONGAN/PEMUNGUTAN PPh OLEH PIHAK LAIN DAN PPh </t>
  </si>
  <si>
    <t>YANG DITANGGUNG PEMERINTAH</t>
  </si>
  <si>
    <t>Keuntungan dari Penjualan/Pengalihan Harta</t>
  </si>
  <si>
    <t>angka 2</t>
  </si>
  <si>
    <t>Domestic Scholarship</t>
  </si>
  <si>
    <t>Profit Sharing of Member of the Company Which The Capital Is Not Divided In Share, Partnership Etc.</t>
  </si>
  <si>
    <t>DAFTAR PEMOTONGAN/PEMUNGUTAN PPh OLEH PIHAK LAIN DAN PPh YANG DITANGGUNG PEMERINTAH</t>
  </si>
  <si>
    <t>22/23/24/26/DTP *</t>
  </si>
  <si>
    <t>1770 S Bagian D angka 12</t>
  </si>
  <si>
    <t>HARTA PADA AKHIR TAHUN</t>
  </si>
  <si>
    <t>KEWAJIBAN/UTANG PADA AKHIR TAHUN</t>
  </si>
  <si>
    <t>DAFTAR SUSUNAN ANGGOTA KELUARGA</t>
  </si>
  <si>
    <t>Bunga Deposito, Tabungan, Diskonto SBI, Surat Berharga Negara</t>
  </si>
  <si>
    <t>yang Dibayarkan Sekaligus</t>
  </si>
  <si>
    <t>Bangunan yang Diterima Dalam Rangka Bangun Guna Serah</t>
  </si>
  <si>
    <t>Bunga Simpanan Yang Dibayarkan Oleh Koperasi Kepada Anggota Koperasi</t>
  </si>
  <si>
    <t>Penghasilan Dari Transaksi Derivatif</t>
  </si>
  <si>
    <t>Penghasilan Isteri Dari Satu Pemberi Kerja</t>
  </si>
  <si>
    <t>AMENDED TAX RETURN NO.</t>
  </si>
  <si>
    <t xml:space="preserve">OFFSET AGAINST THE </t>
  </si>
  <si>
    <t>Interest on time deposits, savings, discount on SBI, state commercial paper</t>
  </si>
  <si>
    <t xml:space="preserve">Interest/discounts on bonds traded in stock exchange </t>
  </si>
  <si>
    <t>Sales value of shares traded in stock exchange</t>
  </si>
  <si>
    <t>Income from Derivative Transaction</t>
  </si>
  <si>
    <t>INCOME SUBJECT TO FINAL TAX AND/OR FINAL IN NATURE</t>
  </si>
  <si>
    <t>Transfer of title of land and/or buildings</t>
  </si>
  <si>
    <t>The buildings received under a "BOT" arrangement</t>
  </si>
  <si>
    <t>Interest paid by Cooperation to Cooperation Member</t>
  </si>
  <si>
    <t>BAGIAN D</t>
  </si>
  <si>
    <t>HUBUNGAN KELUARGA</t>
  </si>
  <si>
    <t>TYPE OF TAX RETURNS (CHOOSE ONE OF THE TWO OPTIONS BELOW)</t>
  </si>
  <si>
    <t>FULL YEAR / PART YEAR (INCLUDING PART TAX TREATY)</t>
  </si>
  <si>
    <t>BLANK FORM</t>
  </si>
  <si>
    <t xml:space="preserve">PENGHASILAN TIDAK KENA PAJAK </t>
  </si>
  <si>
    <t>KREDIT PAJAK</t>
  </si>
  <si>
    <t>KEMENTERIAN KEUANGAN RI</t>
  </si>
  <si>
    <t>f. Benefits-in-kind which have been subject to   PPh 21</t>
  </si>
  <si>
    <t>PENGHASILAN NETO *)</t>
  </si>
  <si>
    <t xml:space="preserve">JUMLAH PENGHASILAN NETO TERATUR </t>
  </si>
  <si>
    <t xml:space="preserve">Bunga/Diskonto Obligasi </t>
  </si>
  <si>
    <t>Beasiswa</t>
  </si>
  <si>
    <t xml:space="preserve">Amount of Income (IDR) </t>
  </si>
  <si>
    <t>Japan Salary from Certificate of Income (CoI)</t>
  </si>
  <si>
    <t>PPh 25</t>
  </si>
  <si>
    <t xml:space="preserve">Jenis Penghasilan </t>
  </si>
  <si>
    <t>Jumlah Penghasilan Tidak Teratur</t>
  </si>
  <si>
    <t>DEPARTEMEN KEUANGAN RI</t>
  </si>
  <si>
    <t>M /</t>
  </si>
  <si>
    <t>S /</t>
  </si>
  <si>
    <t>19.</t>
  </si>
  <si>
    <t>20.</t>
  </si>
  <si>
    <t xml:space="preserve">PREVIOUS EMPLOYER </t>
  </si>
  <si>
    <t xml:space="preserve">b. Income tax withheld </t>
  </si>
  <si>
    <t xml:space="preserve">a. Net income </t>
  </si>
  <si>
    <t xml:space="preserve">TOTAL </t>
  </si>
  <si>
    <t xml:space="preserve">J A P A N   I N C O M E </t>
  </si>
  <si>
    <t>Exchange Rate</t>
  </si>
  <si>
    <t xml:space="preserve">SUMMARY OF JAPAN INCOME </t>
  </si>
  <si>
    <t xml:space="preserve">DAFTAR PENGHASILAN DARI JEPANG </t>
  </si>
  <si>
    <t xml:space="preserve">Jumlah Penghasilan Neto dari Jepang </t>
  </si>
  <si>
    <t>2011</t>
  </si>
  <si>
    <t>Period</t>
  </si>
  <si>
    <t xml:space="preserve">DAFTAR PENGHASILAN TIDAK TERATUR </t>
  </si>
  <si>
    <t>Last year assignee</t>
  </si>
  <si>
    <t>in English</t>
  </si>
  <si>
    <t>in Bahasa Indonesia</t>
  </si>
  <si>
    <t>Tax allowance</t>
  </si>
  <si>
    <t>Amount in original currency</t>
  </si>
  <si>
    <t>Other payments/allowances from Certificate of Salary</t>
  </si>
  <si>
    <t>Bonuses</t>
  </si>
  <si>
    <t>Type of taxes</t>
  </si>
  <si>
    <t>Dec</t>
  </si>
  <si>
    <t>Jan</t>
  </si>
  <si>
    <t>Feb</t>
  </si>
  <si>
    <t>Mar</t>
  </si>
  <si>
    <t>Apr</t>
  </si>
  <si>
    <t>Jun</t>
  </si>
  <si>
    <t>Jul</t>
  </si>
  <si>
    <t>Aug</t>
  </si>
  <si>
    <t>Sep</t>
  </si>
  <si>
    <t>Oct</t>
  </si>
  <si>
    <t>Nov</t>
  </si>
  <si>
    <t>PPh 29 - last year</t>
  </si>
  <si>
    <t>PPh 29 - current year</t>
  </si>
  <si>
    <t>Jenis mata uang</t>
  </si>
  <si>
    <t>Jenis Penghasilan</t>
  </si>
  <si>
    <t>Jenis Mata Uang</t>
  </si>
  <si>
    <t>Type of income - in Indonesian</t>
  </si>
  <si>
    <t>Type of income - in English</t>
  </si>
  <si>
    <t>Name of original Currency</t>
  </si>
  <si>
    <t>JPY</t>
  </si>
  <si>
    <t>USD</t>
  </si>
  <si>
    <t xml:space="preserve">Foreign Exchange Rates </t>
  </si>
  <si>
    <t>Date of receipt</t>
  </si>
  <si>
    <t>1. IRREGULAR OVERSEAS INCOME</t>
  </si>
  <si>
    <t>YEAR 2011</t>
  </si>
  <si>
    <t>Daily Rates</t>
  </si>
  <si>
    <t>Accumulated monthly average rates</t>
  </si>
  <si>
    <t>Monthly average</t>
  </si>
  <si>
    <t>YEAR 2012</t>
  </si>
  <si>
    <t>Daily Exchange rates</t>
  </si>
  <si>
    <t>Accumulated monthly average</t>
  </si>
  <si>
    <t>YEAR 2013</t>
  </si>
  <si>
    <t>Monthly average rates</t>
  </si>
  <si>
    <t>avgJan11</t>
  </si>
  <si>
    <t>avgFeb11</t>
  </si>
  <si>
    <t>avgMar11</t>
  </si>
  <si>
    <t>avgApr11</t>
  </si>
  <si>
    <t>avgMay11</t>
  </si>
  <si>
    <t>avgJun11</t>
  </si>
  <si>
    <t>avgJul11</t>
  </si>
  <si>
    <t>avgAug11</t>
  </si>
  <si>
    <t>avgSep11</t>
  </si>
  <si>
    <t>avgOct11</t>
  </si>
  <si>
    <t>avgNov11</t>
  </si>
  <si>
    <t>avgDec11</t>
  </si>
  <si>
    <t>avgJan12</t>
  </si>
  <si>
    <t>avgFeb12</t>
  </si>
  <si>
    <t>avgMar12</t>
  </si>
  <si>
    <t>avgApr12</t>
  </si>
  <si>
    <t>avgMay12</t>
  </si>
  <si>
    <t>avgJun12</t>
  </si>
  <si>
    <t>avgJul12</t>
  </si>
  <si>
    <t>avgAug12</t>
  </si>
  <si>
    <t>avgSep12</t>
  </si>
  <si>
    <t>avgOct12</t>
  </si>
  <si>
    <t>avgNov12</t>
  </si>
  <si>
    <t>avgDec12</t>
  </si>
  <si>
    <t>avgJan13</t>
  </si>
  <si>
    <t>avgFeb13</t>
  </si>
  <si>
    <t>avgMar13</t>
  </si>
  <si>
    <t>avgApr13</t>
  </si>
  <si>
    <t>avgMay13</t>
  </si>
  <si>
    <t>avgJun13</t>
  </si>
  <si>
    <t>avgJul13</t>
  </si>
  <si>
    <t>avgAug13</t>
  </si>
  <si>
    <t>avgSep13</t>
  </si>
  <si>
    <t>avgOct13</t>
  </si>
  <si>
    <t>avgNov13</t>
  </si>
  <si>
    <t>avgDec13</t>
  </si>
  <si>
    <t>NovDec13</t>
  </si>
  <si>
    <t>OctDec13</t>
  </si>
  <si>
    <t>SepDec13</t>
  </si>
  <si>
    <t>AugDec13</t>
  </si>
  <si>
    <t>JulDec13</t>
  </si>
  <si>
    <t>JanFeb13</t>
  </si>
  <si>
    <t>JanMar13</t>
  </si>
  <si>
    <t>JanApr13</t>
  </si>
  <si>
    <t>JanMay13</t>
  </si>
  <si>
    <t>JanJun13</t>
  </si>
  <si>
    <t>JanJul13</t>
  </si>
  <si>
    <t>JanAug13</t>
  </si>
  <si>
    <t>JanSep13</t>
  </si>
  <si>
    <t>JanOct13</t>
  </si>
  <si>
    <t>JanNov13</t>
  </si>
  <si>
    <t>FebDec13</t>
  </si>
  <si>
    <t>MarDec13</t>
  </si>
  <si>
    <t>AprDec13</t>
  </si>
  <si>
    <t>MayDec13</t>
  </si>
  <si>
    <t>JunDec13</t>
  </si>
  <si>
    <t>JanFeb12</t>
  </si>
  <si>
    <t>JanMar12</t>
  </si>
  <si>
    <t>JanApr12</t>
  </si>
  <si>
    <t>JanMay12</t>
  </si>
  <si>
    <t>JanJun12</t>
  </si>
  <si>
    <t>JanJul12</t>
  </si>
  <si>
    <t>JanAug12</t>
  </si>
  <si>
    <t>JanSep12</t>
  </si>
  <si>
    <t>JanOct12</t>
  </si>
  <si>
    <t>JanNov12</t>
  </si>
  <si>
    <t>FebDec12</t>
  </si>
  <si>
    <t>MarDec12</t>
  </si>
  <si>
    <t>AprDec12</t>
  </si>
  <si>
    <t>MayDec12</t>
  </si>
  <si>
    <t>JunDec12</t>
  </si>
  <si>
    <t>JulDec12</t>
  </si>
  <si>
    <t>AugDec12</t>
  </si>
  <si>
    <t>SepDec12</t>
  </si>
  <si>
    <t>OctDec12</t>
  </si>
  <si>
    <t>NovDec12</t>
  </si>
  <si>
    <t>JanFeb11</t>
  </si>
  <si>
    <t>JanMar11</t>
  </si>
  <si>
    <t>JanApr11</t>
  </si>
  <si>
    <t>JanMay11</t>
  </si>
  <si>
    <t>JanJun11</t>
  </si>
  <si>
    <t>JanJul11</t>
  </si>
  <si>
    <t>JanAug11</t>
  </si>
  <si>
    <t>JanSep11</t>
  </si>
  <si>
    <t>JanOct11</t>
  </si>
  <si>
    <t>JanNov11</t>
  </si>
  <si>
    <t>JanDec12</t>
  </si>
  <si>
    <t>FebDec11</t>
  </si>
  <si>
    <t>MarDec11</t>
  </si>
  <si>
    <t>AprDec11</t>
  </si>
  <si>
    <t>MayDec11</t>
  </si>
  <si>
    <t>JunDec11</t>
  </si>
  <si>
    <t>JulDec11</t>
  </si>
  <si>
    <t>AugDec11</t>
  </si>
  <si>
    <t>SepDec11</t>
  </si>
  <si>
    <t>OctDec11</t>
  </si>
  <si>
    <t>NovDec11</t>
  </si>
  <si>
    <t>JanDec11</t>
  </si>
  <si>
    <t>JanDec13</t>
  </si>
  <si>
    <t>納税番号</t>
  </si>
  <si>
    <t>納税者氏名</t>
  </si>
  <si>
    <t>署名</t>
  </si>
  <si>
    <t>日付</t>
  </si>
  <si>
    <t>日</t>
  </si>
  <si>
    <t>月</t>
  </si>
  <si>
    <t>年</t>
  </si>
  <si>
    <t>氏名</t>
  </si>
  <si>
    <t>フォーム</t>
  </si>
  <si>
    <t>個人所得税</t>
  </si>
  <si>
    <t>課税年度</t>
  </si>
  <si>
    <t>年次申告書</t>
  </si>
  <si>
    <t>1箇所或は複数箇所の雇用者からの所得</t>
  </si>
  <si>
    <t>その他の国内の所得</t>
  </si>
  <si>
    <t>ファイナル・ファイナル形態の税を課税されている所得</t>
  </si>
  <si>
    <t>注意</t>
  </si>
  <si>
    <t>このフォームを書き入れる前に、ガイドを読んでください</t>
  </si>
  <si>
    <t>ブロック体やタイプで書き入れてください</t>
  </si>
  <si>
    <t>似合って、”X"を書き入れてください</t>
  </si>
  <si>
    <t>識別</t>
  </si>
  <si>
    <t>納税者の氏名</t>
  </si>
  <si>
    <t>職業</t>
  </si>
  <si>
    <t>電話番号</t>
  </si>
  <si>
    <t>ファクス番号</t>
  </si>
  <si>
    <r>
      <t xml:space="preserve">   *) </t>
    </r>
    <r>
      <rPr>
        <sz val="7"/>
        <rFont val="Arial"/>
        <charset val="0"/>
        <color theme="1"/>
      </rPr>
      <t xml:space="preserve">ルピアはRp.1以下は切り捨てる </t>
    </r>
  </si>
  <si>
    <t>ルピア *)</t>
  </si>
  <si>
    <t>A. 所得</t>
  </si>
  <si>
    <t>インドネシア国内の雇用所得（給与所得）</t>
  </si>
  <si>
    <t>[フォーム 1721-A1又は 1721-A2 14番の合計]</t>
  </si>
  <si>
    <t>その他のインドネシア国内所得</t>
  </si>
  <si>
    <t xml:space="preserve">[フォーム 1770 S-I A分の合計 ] </t>
  </si>
  <si>
    <t>国外における所得</t>
  </si>
  <si>
    <t>[外国で得た所得がある、別個に作成した書類を添付する]</t>
  </si>
  <si>
    <t>所得の合計　(1 + 2 + 3)</t>
  </si>
  <si>
    <t>所得からなされた布施</t>
  </si>
  <si>
    <r>
      <t/>
    </r>
    <r>
      <rPr>
        <sz val="8"/>
        <rFont val="ＭＳ Ｐゴシック"/>
        <charset val="128"/>
        <color theme="1"/>
      </rPr>
      <t>布施を差し引いた後の所得　</t>
    </r>
    <r>
      <rPr>
        <sz val="8"/>
        <rFont val="Arial"/>
        <charset val="0"/>
        <color theme="1"/>
      </rPr>
      <t>(4 - 5)</t>
    </r>
  </si>
  <si>
    <r>
      <t/>
    </r>
    <r>
      <rPr>
        <b/>
        <sz val="8"/>
        <rFont val="Arial"/>
        <charset val="0"/>
        <color theme="1"/>
      </rPr>
      <t>B.</t>
    </r>
    <r>
      <rPr>
        <b/>
        <sz val="8"/>
        <rFont val="ＭＳ Ｐゴシック"/>
        <charset val="128"/>
        <color theme="1"/>
      </rPr>
      <t>　課税所得</t>
    </r>
  </si>
  <si>
    <t>非課税所得</t>
  </si>
  <si>
    <t>独身</t>
  </si>
  <si>
    <t>既婚</t>
  </si>
  <si>
    <t>既婚／妻</t>
  </si>
  <si>
    <t>課税所得 (6-7)</t>
  </si>
  <si>
    <r>
      <t xml:space="preserve">C. </t>
    </r>
    <r>
      <rPr>
        <b/>
        <sz val="8"/>
        <rFont val="ＭＳ Ｐゴシック"/>
        <charset val="128"/>
        <color theme="1"/>
      </rPr>
      <t>所得税</t>
    </r>
  </si>
  <si>
    <t>所得税額</t>
  </si>
  <si>
    <r>
      <t>(B8</t>
    </r>
    <r>
      <rPr>
        <sz val="8"/>
        <rFont val="ＭＳ Ｐゴシック"/>
        <charset val="128"/>
        <color theme="1"/>
      </rPr>
      <t>に所得税法第</t>
    </r>
    <r>
      <rPr>
        <sz val="8"/>
        <rFont val="Arial"/>
        <charset val="0"/>
        <color theme="1"/>
      </rPr>
      <t>17</t>
    </r>
    <r>
      <rPr>
        <sz val="8"/>
        <rFont val="ＭＳ Ｐゴシック"/>
        <charset val="128"/>
        <color theme="1"/>
      </rPr>
      <t>条規定の累進税率を乗じて算出</t>
    </r>
  </si>
  <si>
    <t>…………………………………………………</t>
  </si>
  <si>
    <r>
      <t/>
    </r>
    <r>
      <rPr>
        <sz val="8"/>
        <rFont val="ＭＳ Ｐゴシック"/>
        <charset val="128"/>
        <color theme="1"/>
      </rPr>
      <t>所得税額の合計</t>
    </r>
    <r>
      <rPr>
        <sz val="8"/>
        <rFont val="Arial"/>
        <charset val="0"/>
        <color theme="1"/>
      </rPr>
      <t xml:space="preserve"> (9+10)</t>
    </r>
  </si>
  <si>
    <r>
      <t xml:space="preserve">D. </t>
    </r>
    <r>
      <rPr>
        <b/>
        <sz val="8"/>
        <rFont val="ＭＳ Ｐゴシック"/>
        <charset val="128"/>
        <color theme="1"/>
      </rPr>
      <t>税額控除</t>
    </r>
  </si>
  <si>
    <t>第三者により源泉徴収された税額、政府負担となる税額、外国で納付した税額</t>
  </si>
  <si>
    <t>1770 S-I C分コラム(7)の合計]</t>
  </si>
  <si>
    <t>納付すべき所得税</t>
  </si>
  <si>
    <t>源泉超過額／過納付額</t>
  </si>
  <si>
    <t>既に納付された所得税</t>
  </si>
  <si>
    <r>
      <t/>
    </r>
    <r>
      <rPr>
        <sz val="8"/>
        <rFont val="ＭＳ Ｐゴシック"/>
        <charset val="128"/>
        <color theme="1"/>
      </rPr>
      <t>所得税法</t>
    </r>
    <r>
      <rPr>
        <sz val="8"/>
        <rFont val="Arial"/>
        <charset val="0"/>
        <color theme="1"/>
      </rPr>
      <t>25</t>
    </r>
    <r>
      <rPr>
        <sz val="8"/>
        <rFont val="ＭＳ Ｐゴシック"/>
        <charset val="128"/>
        <color theme="1"/>
      </rPr>
      <t>条に基づく月次納税額</t>
    </r>
  </si>
  <si>
    <r>
      <t/>
    </r>
    <r>
      <rPr>
        <sz val="8"/>
        <rFont val="ＭＳ Ｐゴシック"/>
        <charset val="128"/>
        <color theme="1"/>
      </rPr>
      <t>所得税法</t>
    </r>
    <r>
      <rPr>
        <sz val="8"/>
        <rFont val="Arial"/>
        <charset val="0"/>
        <color theme="1"/>
      </rPr>
      <t>25</t>
    </r>
    <r>
      <rPr>
        <sz val="8"/>
        <rFont val="ＭＳ Ｐゴシック"/>
        <charset val="128"/>
        <color theme="1"/>
      </rPr>
      <t>条の更正額（納税額元本のみ）</t>
    </r>
  </si>
  <si>
    <r>
      <t/>
    </r>
    <r>
      <rPr>
        <sz val="8"/>
        <rFont val="ＭＳ Ｐゴシック"/>
        <charset val="128"/>
        <color theme="1"/>
      </rPr>
      <t>税額控除の合計</t>
    </r>
    <r>
      <rPr>
        <sz val="8"/>
        <rFont val="Arial"/>
        <charset val="0"/>
        <color theme="1"/>
      </rPr>
      <t xml:space="preserve"> (14a + 14b + 14c)</t>
    </r>
  </si>
  <si>
    <r>
      <t/>
    </r>
    <r>
      <rPr>
        <b/>
        <sz val="7"/>
        <rFont val="Arial"/>
        <charset val="0"/>
        <color theme="1"/>
      </rPr>
      <t xml:space="preserve">E. </t>
    </r>
    <r>
      <rPr>
        <b/>
        <sz val="7"/>
        <rFont val="ＭＳ Ｐゴシック"/>
        <charset val="128"/>
        <color theme="1"/>
      </rPr>
      <t>所得税未納付額／過納付額</t>
    </r>
  </si>
  <si>
    <t>納付日</t>
  </si>
  <si>
    <r>
      <t xml:space="preserve">a. </t>
    </r>
    <r>
      <rPr>
        <sz val="8"/>
        <rFont val="ＭＳ Ｐゴシック"/>
        <charset val="128"/>
        <color theme="1"/>
      </rPr>
      <t>所得税未納付額</t>
    </r>
    <r>
      <rPr>
        <sz val="8"/>
        <rFont val="Arial"/>
        <charset val="0"/>
        <color theme="1"/>
      </rPr>
      <t xml:space="preserve"> (</t>
    </r>
    <r>
      <rPr>
        <sz val="8"/>
        <rFont val="ＭＳ Ｐゴシック"/>
        <charset val="128"/>
        <color theme="1"/>
      </rPr>
      <t>所得税法</t>
    </r>
    <r>
      <rPr>
        <sz val="8"/>
        <rFont val="Arial"/>
        <charset val="0"/>
        <color theme="1"/>
      </rPr>
      <t xml:space="preserve"> 29</t>
    </r>
    <r>
      <rPr>
        <sz val="8"/>
        <rFont val="ＭＳ Ｐゴシック"/>
        <charset val="128"/>
        <color theme="1"/>
      </rPr>
      <t>条</t>
    </r>
    <r>
      <rPr>
        <sz val="8"/>
        <rFont val="Arial"/>
        <charset val="0"/>
        <color theme="1"/>
      </rPr>
      <t>)</t>
    </r>
  </si>
  <si>
    <r>
      <t/>
    </r>
    <r>
      <rPr>
        <sz val="8"/>
        <rFont val="ＭＳ Ｐゴシック"/>
        <charset val="128"/>
        <color theme="1"/>
      </rPr>
      <t>申請</t>
    </r>
    <r>
      <rPr>
        <sz val="8"/>
        <rFont val="Arial"/>
        <charset val="0"/>
        <color theme="1"/>
      </rPr>
      <t xml:space="preserve"> :16b</t>
    </r>
    <r>
      <rPr>
        <sz val="8"/>
        <rFont val="ＭＳ Ｐゴシック"/>
        <charset val="128"/>
        <color theme="1"/>
      </rPr>
      <t>の所得税過納付額は以下の通り申請する</t>
    </r>
    <r>
      <rPr>
        <sz val="8"/>
        <rFont val="Arial"/>
        <charset val="0"/>
        <color theme="1"/>
      </rPr>
      <t>:</t>
    </r>
  </si>
  <si>
    <t>還付</t>
  </si>
  <si>
    <r>
      <t xml:space="preserve">F. </t>
    </r>
    <r>
      <rPr>
        <b/>
        <sz val="7"/>
        <rFont val="ＭＳ Ｐゴシック"/>
        <charset val="128"/>
        <color theme="1"/>
      </rPr>
      <t>翌課税年度の月次予納の計算</t>
    </r>
  </si>
  <si>
    <r>
      <t/>
    </r>
    <r>
      <rPr>
        <sz val="8"/>
        <rFont val="ＭＳ Ｐゴシック"/>
        <charset val="128"/>
        <color theme="1"/>
      </rPr>
      <t>翌課税年度の月次納付の金額</t>
    </r>
    <r>
      <rPr>
        <sz val="8"/>
        <rFont val="Arial"/>
        <charset val="0"/>
        <color theme="1"/>
      </rPr>
      <t>(</t>
    </r>
    <r>
      <rPr>
        <sz val="8"/>
        <rFont val="ＭＳ Ｐゴシック"/>
        <charset val="128"/>
        <color theme="1"/>
      </rPr>
      <t>所得税法</t>
    </r>
    <r>
      <rPr>
        <sz val="8"/>
        <rFont val="Arial"/>
        <charset val="0"/>
        <color theme="1"/>
      </rPr>
      <t>25</t>
    </r>
    <r>
      <rPr>
        <sz val="8"/>
        <rFont val="ＭＳ Ｐゴシック"/>
        <charset val="128"/>
        <color theme="1"/>
      </rPr>
      <t>条</t>
    </r>
    <r>
      <rPr>
        <sz val="8"/>
        <rFont val="Arial"/>
        <charset val="0"/>
        <color theme="1"/>
      </rPr>
      <t>)</t>
    </r>
    <r>
      <rPr>
        <sz val="8"/>
        <rFont val="ＭＳ Ｐゴシック"/>
        <charset val="128"/>
        <color theme="1"/>
      </rPr>
      <t>は</t>
    </r>
    <r>
      <rPr>
        <sz val="8"/>
        <rFont val="Arial"/>
        <charset val="0"/>
        <color theme="1"/>
      </rPr>
      <t xml:space="preserve">; </t>
    </r>
  </si>
  <si>
    <t>以下を基に計算した</t>
  </si>
  <si>
    <r>
      <t>13</t>
    </r>
    <r>
      <rPr>
        <sz val="8"/>
        <rFont val="ＭＳ Ｐゴシック"/>
        <charset val="128"/>
        <color theme="1"/>
      </rPr>
      <t>　の金額</t>
    </r>
    <r>
      <rPr>
        <sz val="8"/>
        <rFont val="Arial"/>
        <charset val="0"/>
        <color theme="1"/>
      </rPr>
      <t xml:space="preserve"> </t>
    </r>
    <r>
      <rPr>
        <sz val="8"/>
        <rFont val="ＭＳ Ｐゴシック"/>
        <charset val="128"/>
        <color theme="1"/>
      </rPr>
      <t>を</t>
    </r>
    <r>
      <rPr>
        <sz val="8"/>
        <rFont val="Arial"/>
        <charset val="0"/>
        <color theme="1"/>
      </rPr>
      <t>12</t>
    </r>
    <r>
      <rPr>
        <sz val="8"/>
        <rFont val="ＭＳ Ｐゴシック"/>
        <charset val="128"/>
        <color theme="1"/>
      </rPr>
      <t>で除した額</t>
    </r>
  </si>
  <si>
    <t>添付の計算書</t>
  </si>
  <si>
    <r>
      <t/>
    </r>
    <r>
      <rPr>
        <b/>
        <sz val="8"/>
        <rFont val="Arial"/>
        <charset val="0"/>
        <color theme="1"/>
      </rPr>
      <t xml:space="preserve">G. </t>
    </r>
    <r>
      <rPr>
        <b/>
        <sz val="8"/>
        <rFont val="ＭＳ Ｐゴシック"/>
        <charset val="128"/>
        <color theme="1"/>
      </rPr>
      <t>添付資料</t>
    </r>
  </si>
  <si>
    <r>
      <t/>
    </r>
    <r>
      <rPr>
        <sz val="8"/>
        <rFont val="ＭＳ Ｐゴシック"/>
        <charset val="128"/>
        <color theme="1"/>
      </rPr>
      <t>フォーム</t>
    </r>
    <r>
      <rPr>
        <sz val="8"/>
        <rFont val="Arial"/>
        <charset val="0"/>
        <color theme="1"/>
      </rPr>
      <t xml:space="preserve">1721-A1 </t>
    </r>
    <r>
      <rPr>
        <sz val="8"/>
        <rFont val="ＭＳ Ｐゴシック"/>
        <charset val="128"/>
        <color theme="1"/>
      </rPr>
      <t>又は</t>
    </r>
    <r>
      <rPr>
        <sz val="8"/>
        <rFont val="Arial"/>
        <charset val="0"/>
        <color theme="1"/>
      </rPr>
      <t xml:space="preserve"> 1721-A2 </t>
    </r>
    <r>
      <rPr>
        <sz val="8"/>
        <rFont val="ＭＳ Ｐゴシック"/>
        <charset val="128"/>
        <color theme="1"/>
      </rPr>
      <t>又は所得税法</t>
    </r>
    <r>
      <rPr>
        <sz val="8"/>
        <rFont val="Arial"/>
        <charset val="0"/>
        <color theme="1"/>
      </rPr>
      <t>21</t>
    </r>
    <r>
      <rPr>
        <sz val="8"/>
        <rFont val="ＭＳ Ｐゴシック"/>
        <charset val="128"/>
        <color theme="1"/>
      </rPr>
      <t>条に基づく税金納付書</t>
    </r>
  </si>
  <si>
    <t>資産を分割している既婚の納税者の税額</t>
  </si>
  <si>
    <r>
      <t/>
    </r>
    <r>
      <rPr>
        <sz val="8"/>
        <rFont val="ＭＳ Ｐゴシック"/>
        <charset val="128"/>
        <color theme="1"/>
      </rPr>
      <t>税金納付書、</t>
    </r>
    <r>
      <rPr>
        <sz val="8"/>
        <rFont val="Arial"/>
        <charset val="0"/>
        <color theme="1"/>
      </rPr>
      <t>3</t>
    </r>
    <r>
      <rPr>
        <sz val="8"/>
        <rFont val="ＭＳ Ｐゴシック"/>
        <charset val="128"/>
        <color theme="1"/>
      </rPr>
      <t>ページ目のコピー</t>
    </r>
  </si>
  <si>
    <t>委任状　（代理人を使う場合）</t>
  </si>
  <si>
    <t>現行の法規による科料等が生じることも承知した上で、この申告書類及び添付書類は真実であること</t>
  </si>
  <si>
    <t>納税者</t>
  </si>
  <si>
    <t>代理人</t>
  </si>
  <si>
    <r>
      <t/>
    </r>
    <r>
      <rPr>
        <b/>
        <sz val="11"/>
        <rFont val="ＭＳ Ｐゴシック"/>
        <charset val="128"/>
        <color theme="1"/>
      </rPr>
      <t>添付資料　</t>
    </r>
    <r>
      <rPr>
        <b/>
        <sz val="11"/>
        <rFont val="Arial"/>
        <charset val="0"/>
        <color theme="1"/>
      </rPr>
      <t>I</t>
    </r>
  </si>
  <si>
    <t>年間個人所得税申告</t>
  </si>
  <si>
    <t>その他の国内所得</t>
  </si>
  <si>
    <t>課税対象外の所得</t>
  </si>
  <si>
    <t>他所の源泉徴収と政府負担所得のリスト</t>
  </si>
  <si>
    <t>A　部</t>
  </si>
  <si>
    <t>番</t>
  </si>
  <si>
    <t>所得の種類</t>
  </si>
  <si>
    <t>合計所得金額</t>
  </si>
  <si>
    <t>(ルピア)</t>
  </si>
  <si>
    <t>利息</t>
  </si>
  <si>
    <t>ロイヤルティ収入</t>
  </si>
  <si>
    <t>レンタル収入</t>
  </si>
  <si>
    <t>賞金・報奨金など</t>
  </si>
  <si>
    <t>その他</t>
  </si>
  <si>
    <t>A合計</t>
  </si>
  <si>
    <t>A部の合計</t>
  </si>
  <si>
    <t>合計は1770S-A分の2番。</t>
  </si>
  <si>
    <t>B　部</t>
  </si>
  <si>
    <t>財政援助 / 寄付 / 贈与</t>
  </si>
  <si>
    <t>遺産</t>
  </si>
  <si>
    <t>健康保険、生命保険、総合保険、学資保険の保険金受取額</t>
  </si>
  <si>
    <t>奨学金</t>
  </si>
  <si>
    <t>課税対象外のその他の所得</t>
  </si>
  <si>
    <t>B合計</t>
  </si>
  <si>
    <t>B部の合計</t>
  </si>
  <si>
    <t>C　部</t>
  </si>
  <si>
    <t>源泉徴収者</t>
  </si>
  <si>
    <t>源泉徴収票</t>
  </si>
  <si>
    <t>税金の種類 :</t>
  </si>
  <si>
    <t>源泉徴収された</t>
  </si>
  <si>
    <r>
      <t/>
    </r>
    <r>
      <rPr>
        <sz val="11"/>
        <rFont val="ＭＳ Ｐゴシック"/>
        <charset val="128"/>
        <color theme="1"/>
      </rPr>
      <t>所得税法</t>
    </r>
    <r>
      <rPr>
        <sz val="11"/>
        <rFont val="Arial"/>
        <charset val="0"/>
        <color theme="1"/>
      </rPr>
      <t>21/</t>
    </r>
  </si>
  <si>
    <t>番号</t>
  </si>
  <si>
    <t>など</t>
  </si>
  <si>
    <t>C部の合計</t>
  </si>
  <si>
    <t>C合計</t>
  </si>
  <si>
    <t>合計は1770SフォームのD分の12番。</t>
  </si>
  <si>
    <t>- DTP : 政府負担</t>
  </si>
  <si>
    <t>- コラム (6) はPPh Pasal 21/22/23/24/26/DTPを選んでください (例 : 21, 22, 23, 24, 26, DTP)</t>
  </si>
  <si>
    <t>- PPh Pasal 24の税額控除がある場合, 限度額まで記入できる。（ガイドブック参照）</t>
  </si>
  <si>
    <t>記入欄が不足する場合には、上記と同様の形式で別紙を添付して記入すること。</t>
  </si>
  <si>
    <t>ページ</t>
  </si>
  <si>
    <t>目の</t>
  </si>
  <si>
    <t>付加１ページ</t>
  </si>
  <si>
    <r>
      <t/>
    </r>
    <r>
      <rPr>
        <b/>
        <sz val="11"/>
        <rFont val="ＭＳ Ｐゴシック"/>
        <charset val="128"/>
        <color theme="1"/>
      </rPr>
      <t>添付資料　</t>
    </r>
    <r>
      <rPr>
        <b/>
        <sz val="11"/>
        <rFont val="Arial"/>
        <charset val="0"/>
        <color theme="1"/>
      </rPr>
      <t>II</t>
    </r>
  </si>
  <si>
    <t>最終課税、最終形態の性質の所得</t>
  </si>
  <si>
    <t>年度末における資産リスト</t>
  </si>
  <si>
    <t>年度末における負債リスト</t>
  </si>
  <si>
    <t>家族リスト</t>
  </si>
  <si>
    <t>課税標準或は</t>
  </si>
  <si>
    <t>所得税</t>
  </si>
  <si>
    <t>グロス所得</t>
  </si>
  <si>
    <r>
      <t/>
    </r>
    <r>
      <rPr>
        <sz val="12"/>
        <rFont val="ＭＳ Ｐゴシック"/>
        <charset val="128"/>
        <color theme="1"/>
      </rPr>
      <t>定期預金・普通預金利息、中央銀行証書の割引額や国債</t>
    </r>
  </si>
  <si>
    <r>
      <t/>
    </r>
    <r>
      <rPr>
        <sz val="12"/>
        <rFont val="ＭＳ Ｐゴシック"/>
        <charset val="128"/>
        <color theme="1"/>
      </rPr>
      <t>証券取引所上場債券の金利と割引額</t>
    </r>
    <r>
      <rPr>
        <sz val="12"/>
        <rFont val="Arial"/>
        <charset val="0"/>
        <color theme="1"/>
      </rPr>
      <t xml:space="preserve"> </t>
    </r>
  </si>
  <si>
    <t>競技における賞品</t>
  </si>
  <si>
    <r>
      <t/>
    </r>
    <r>
      <rPr>
        <sz val="12"/>
        <rFont val="ＭＳ Ｐゴシック"/>
        <charset val="128"/>
        <color theme="1"/>
      </rPr>
      <t>退職金、老齢年金、年金貯金</t>
    </r>
    <r>
      <rPr>
        <sz val="12"/>
        <rFont val="Arial"/>
        <charset val="0"/>
        <color theme="1"/>
      </rPr>
      <t xml:space="preserve"> </t>
    </r>
  </si>
  <si>
    <t>政府予算から支払された所得</t>
  </si>
  <si>
    <t>土地･建物のレンタル収入</t>
  </si>
  <si>
    <t>ＢＯＴ方式で入手した建物</t>
  </si>
  <si>
    <t>デリバティブ取引の所得</t>
  </si>
  <si>
    <t>配当金</t>
  </si>
  <si>
    <t>配偶者の就労所得</t>
  </si>
  <si>
    <t>資産の種類</t>
  </si>
  <si>
    <t>取得年</t>
  </si>
  <si>
    <t>取得金額</t>
  </si>
  <si>
    <t>備考</t>
  </si>
  <si>
    <t>合計</t>
  </si>
  <si>
    <t>D　部</t>
  </si>
  <si>
    <t>扶養家族リスト</t>
  </si>
  <si>
    <t>親族関係</t>
  </si>
  <si>
    <t>仕事</t>
  </si>
  <si>
    <t>付加２ページ</t>
  </si>
  <si>
    <t>源泉徴収者の納税番号</t>
  </si>
  <si>
    <t>源泉徴収者の氏名</t>
  </si>
  <si>
    <t xml:space="preserve"> 納税者の氏名</t>
  </si>
  <si>
    <t>納税者の納税番号</t>
  </si>
  <si>
    <t>納税者の住所</t>
  </si>
  <si>
    <t>男性</t>
  </si>
  <si>
    <t>女性</t>
  </si>
  <si>
    <t>グロス所得　：</t>
  </si>
  <si>
    <t>所得税手当</t>
  </si>
  <si>
    <t xml:space="preserve">非課税所得 (PTKP) </t>
  </si>
  <si>
    <t>個人税申告　－　添付資料</t>
  </si>
  <si>
    <t>個人所得税の計算</t>
  </si>
  <si>
    <t>ネット所得</t>
  </si>
  <si>
    <t>他の国内ネット所得</t>
  </si>
  <si>
    <t>国外のネット所得</t>
  </si>
  <si>
    <t>ネット所得合計</t>
  </si>
  <si>
    <t>年換算のネット所得</t>
  </si>
  <si>
    <t>所得控除</t>
  </si>
  <si>
    <t>年換算課税所得</t>
  </si>
  <si>
    <t>年換算所得税</t>
  </si>
  <si>
    <t>給与所得と賞与所得</t>
  </si>
  <si>
    <t>他の所得</t>
  </si>
  <si>
    <t>年換算所得税合計</t>
  </si>
  <si>
    <t>実際の所得税</t>
  </si>
  <si>
    <t>年間所得税合計</t>
  </si>
  <si>
    <t>元の通貨</t>
  </si>
  <si>
    <t>第２５条所得税月次分割払い額の計算</t>
  </si>
  <si>
    <t>年度；</t>
  </si>
  <si>
    <t>ネット所得 *)</t>
  </si>
  <si>
    <t>給与所得</t>
  </si>
  <si>
    <t>他の国内所得</t>
  </si>
  <si>
    <t>国外所得</t>
  </si>
  <si>
    <t>定収入ネット合計</t>
  </si>
  <si>
    <t>年換算定収入ネット所得</t>
  </si>
  <si>
    <t>推定課税所得</t>
  </si>
  <si>
    <t>課税推定</t>
  </si>
  <si>
    <t>税額控除</t>
  </si>
  <si>
    <t>第25条所得税月次分割払い計算のための税額基盤</t>
  </si>
  <si>
    <t>課税期間の月数</t>
  </si>
  <si>
    <t>その上のアイテム</t>
  </si>
  <si>
    <r>
      <t/>
    </r>
    <r>
      <rPr>
        <b/>
        <sz val="16"/>
        <rFont val="ＭＳ Ｐゴシック"/>
        <charset val="128"/>
        <color theme="1"/>
      </rPr>
      <t>第</t>
    </r>
    <r>
      <rPr>
        <b/>
        <sz val="16"/>
        <rFont val="Arial"/>
        <charset val="0"/>
        <color theme="1"/>
      </rPr>
      <t>25</t>
    </r>
    <r>
      <rPr>
        <b/>
        <sz val="16"/>
        <rFont val="ＭＳ Ｐゴシック"/>
        <charset val="128"/>
        <color theme="1"/>
      </rPr>
      <t>条月次分割払い額支払済分</t>
    </r>
  </si>
  <si>
    <t>支払額</t>
  </si>
  <si>
    <t>１月</t>
  </si>
  <si>
    <t>２月</t>
  </si>
  <si>
    <t>３月</t>
  </si>
  <si>
    <t>４月</t>
  </si>
  <si>
    <t>５月</t>
  </si>
  <si>
    <t>６月</t>
  </si>
  <si>
    <t>７月</t>
  </si>
  <si>
    <t>８月</t>
  </si>
  <si>
    <t>９月</t>
  </si>
  <si>
    <t>１０月</t>
  </si>
  <si>
    <t>１１月</t>
  </si>
  <si>
    <t>１２月</t>
  </si>
  <si>
    <t>支払合計</t>
  </si>
  <si>
    <t>申告合計</t>
  </si>
  <si>
    <t>CASH AND CASH EQUIVALENT</t>
  </si>
  <si>
    <t>Uang Tunai</t>
  </si>
  <si>
    <t>Tabungan</t>
  </si>
  <si>
    <t>013</t>
  </si>
  <si>
    <t>Giro</t>
  </si>
  <si>
    <t>014</t>
  </si>
  <si>
    <t>Deposito</t>
  </si>
  <si>
    <t>019</t>
  </si>
  <si>
    <t>RECEIVABLES</t>
  </si>
  <si>
    <t>021</t>
  </si>
  <si>
    <t>Piutang</t>
  </si>
  <si>
    <t>029</t>
  </si>
  <si>
    <t>INVESTMENTS</t>
  </si>
  <si>
    <t>031</t>
  </si>
  <si>
    <t>Shares purchased for resale</t>
  </si>
  <si>
    <t>032</t>
  </si>
  <si>
    <t>Saham</t>
  </si>
  <si>
    <t>033</t>
  </si>
  <si>
    <t>Obligasi Perusahaan</t>
  </si>
  <si>
    <t>034</t>
  </si>
  <si>
    <t>Obligasi Pemerintah Indonesia</t>
  </si>
  <si>
    <t>035</t>
  </si>
  <si>
    <t>036</t>
  </si>
  <si>
    <t>Reksadana</t>
  </si>
  <si>
    <t>037</t>
  </si>
  <si>
    <t>038</t>
  </si>
  <si>
    <t>039</t>
  </si>
  <si>
    <t>MEANS OF TRANSPORTATION</t>
  </si>
  <si>
    <t>041</t>
  </si>
  <si>
    <t>Sepeda</t>
  </si>
  <si>
    <t>042</t>
  </si>
  <si>
    <t>Sepeda Motor</t>
  </si>
  <si>
    <t>043</t>
  </si>
  <si>
    <t>Mobil</t>
  </si>
  <si>
    <t>OTHER MOVEABLE PROPERTY</t>
  </si>
  <si>
    <t>051</t>
  </si>
  <si>
    <t>052</t>
  </si>
  <si>
    <t>053</t>
  </si>
  <si>
    <t>054</t>
  </si>
  <si>
    <t>055</t>
  </si>
  <si>
    <t>059</t>
  </si>
  <si>
    <t>REAL PROPERTY</t>
  </si>
  <si>
    <t>061</t>
  </si>
  <si>
    <t>062</t>
  </si>
  <si>
    <t>063</t>
  </si>
  <si>
    <t>069</t>
  </si>
  <si>
    <t>101</t>
  </si>
  <si>
    <t>102</t>
  </si>
  <si>
    <t>103</t>
  </si>
  <si>
    <t>NIK</t>
  </si>
  <si>
    <t>STATUS KEWAJIBAN
PERPAJAKAN SUAMI-ISTERI</t>
  </si>
  <si>
    <t>KK</t>
  </si>
  <si>
    <t>HB</t>
  </si>
  <si>
    <t>PH</t>
  </si>
  <si>
    <t>MT</t>
  </si>
  <si>
    <t>NPWP ISTERI/SUAMI</t>
  </si>
  <si>
    <t>Permohonan perubahan data disampaikan terpisah dari pelaporan SPT Tahunan PPh Orang Pribadi ini, dengan menggunakan Formulir
Perubahan Data Wajib Pajak dan dilengkapi dokumen yang disyaratkan.</t>
  </si>
  <si>
    <t>DIKEMBALIKAN DENGAN SKPPKP PASAL 17 C (WP dengan Kriteria Tertentu)</t>
  </si>
  <si>
    <t>DIKEMBALIKAN DENGAN SKKPP PASAL 17 D (WP yang Memenuhi Persyaratan Tertentu)</t>
  </si>
  <si>
    <t>KODE HARTA</t>
  </si>
  <si>
    <t>NAMA HARTA</t>
  </si>
  <si>
    <t>NAMA PEMBERI PINJAMAN</t>
  </si>
  <si>
    <t>KODE UTANG</t>
  </si>
  <si>
    <t>TAX OBLIGATION STATUS</t>
  </si>
  <si>
    <t>SPOUSE TAX ID</t>
  </si>
  <si>
    <t>JanFeb14</t>
  </si>
  <si>
    <t>JanMar14</t>
  </si>
  <si>
    <t>JanApr14</t>
  </si>
  <si>
    <t>JanMay14</t>
  </si>
  <si>
    <t>JanJun14</t>
  </si>
  <si>
    <t>JanJul14</t>
  </si>
  <si>
    <t>JanAug14</t>
  </si>
  <si>
    <t>JanSep14</t>
  </si>
  <si>
    <t>JanOct14</t>
  </si>
  <si>
    <t>JanNov14</t>
  </si>
  <si>
    <t>FebDec14</t>
  </si>
  <si>
    <t>MarDec14</t>
  </si>
  <si>
    <t>AprDec14</t>
  </si>
  <si>
    <t>MayDec14</t>
  </si>
  <si>
    <t>JunDec14</t>
  </si>
  <si>
    <t>JulDec14</t>
  </si>
  <si>
    <t>AugDec14</t>
  </si>
  <si>
    <t>SepDec14</t>
  </si>
  <si>
    <t>OctDec14</t>
  </si>
  <si>
    <t>NovDec14</t>
  </si>
  <si>
    <t>avgJan14</t>
  </si>
  <si>
    <t>avgFeb14</t>
  </si>
  <si>
    <t>avgMar14</t>
  </si>
  <si>
    <t>avgApr14</t>
  </si>
  <si>
    <t>avgMay14</t>
  </si>
  <si>
    <t>avgJun14</t>
  </si>
  <si>
    <t>avgJul14</t>
  </si>
  <si>
    <t>avgAug14</t>
  </si>
  <si>
    <t>avgSep14</t>
  </si>
  <si>
    <t>avgOct14</t>
  </si>
  <si>
    <t>avgNov14</t>
  </si>
  <si>
    <t>avgDec14</t>
  </si>
  <si>
    <t>Type of Income  
- in English</t>
  </si>
  <si>
    <t>Type of Income  
- in Indonesian</t>
  </si>
  <si>
    <t>DAFTAR HARTA DAN KEWAJIBAN/UTANG PADA AKHIR TAHUN</t>
  </si>
  <si>
    <t>Kode Harta</t>
  </si>
  <si>
    <t>Nama Harta</t>
  </si>
  <si>
    <t>Tahun Perolehan</t>
  </si>
  <si>
    <t>Harga Perolehan</t>
  </si>
  <si>
    <t>Keterangan</t>
  </si>
  <si>
    <t>JUMLAH HARTA PADA AKHIR TAHUN</t>
  </si>
  <si>
    <t>Kode Utang</t>
  </si>
  <si>
    <t>Nama Pemberi Pinjaman</t>
  </si>
  <si>
    <t>Alamat Pemberi Pinjaman</t>
  </si>
  <si>
    <t>Tahun Peminjaman</t>
  </si>
  <si>
    <t>Jumlah</t>
  </si>
  <si>
    <t>JUMLAH KEWAJIBAN PADA AKHIR TAHUN</t>
  </si>
  <si>
    <t>NAMA WAJIB PAJAK:</t>
  </si>
  <si>
    <t>NPWP:</t>
  </si>
  <si>
    <t>所得税法25条に基づく月次納税額</t>
  </si>
  <si>
    <t>税額控除の合計</t>
  </si>
  <si>
    <t>現金Cash</t>
  </si>
  <si>
    <t>口座残高（普通）Saving accounts</t>
  </si>
  <si>
    <t>口座残高（当座）Checking accounts</t>
  </si>
  <si>
    <t>定期預金Term deposits</t>
  </si>
  <si>
    <t>その他Others</t>
  </si>
  <si>
    <t>株式Shares</t>
  </si>
  <si>
    <t>社債（企業発行）Company-issued bonds</t>
  </si>
  <si>
    <t>公債（政府発行）Indonesian Government-issued  bonds</t>
  </si>
  <si>
    <t>その他の債権Other debt instruments</t>
  </si>
  <si>
    <t>ミューチュアル・ファンドMutual funds</t>
  </si>
  <si>
    <t xml:space="preserve">デリバティヴ商品（権利、ワラント、先物、オプション）
Derivative instruments (rights, warrants, futures contracts, options)
</t>
  </si>
  <si>
    <t>その他の投資Other investments</t>
  </si>
  <si>
    <t>自転車Bicycles</t>
  </si>
  <si>
    <t>バイクMotorcycles</t>
  </si>
  <si>
    <t>自動車Cars</t>
  </si>
  <si>
    <t>貴金属Precious metals</t>
  </si>
  <si>
    <t>宝石Gemstones</t>
  </si>
  <si>
    <t>美術品、骨董品Art works, antiques</t>
  </si>
  <si>
    <t>ヨット／飛行機／ヘリコプター／ジェットスキー／その他のスポーツ用設備Yachts / aircrafts / helicopter / jetski / other special sport gears</t>
  </si>
  <si>
    <t>その他の不動産Other real property</t>
  </si>
  <si>
    <t>その他受領債権Others Receivable</t>
  </si>
  <si>
    <t>その他乗物Others Vehicle</t>
  </si>
  <si>
    <t>その他の動産Other movable assets</t>
  </si>
  <si>
    <t xml:space="preserve">事業用途の土地 Land for business </t>
  </si>
  <si>
    <t>商業用の土地及び／あるいは建物Land/building for commercial purposes</t>
  </si>
  <si>
    <t>住宅用の土地及び／あるいは建物Land/building for residence</t>
  </si>
  <si>
    <t>株式以外の持分（パートナーシップ持分を含む）Equity in a company (incl. Ltd partnership), other than in form of shares</t>
  </si>
  <si>
    <t>銀行あるいは銀行以外の金融機関からの借入 Loans from banks / non-bank financial institutions</t>
  </si>
  <si>
    <t>納税者の申告ステイタス</t>
  </si>
  <si>
    <t>配偶者の納税者番号</t>
  </si>
  <si>
    <t>合算</t>
  </si>
  <si>
    <t>個別（別居）</t>
  </si>
  <si>
    <t>個別（財産分割）</t>
  </si>
  <si>
    <t>個別（個別申告合意）</t>
  </si>
  <si>
    <t>納税者の情報に変更がある場合には当申告書ではなく、変更内容の届出専用のフォームに記載してくださ</t>
  </si>
  <si>
    <r>
      <t xml:space="preserve">SKPPKP </t>
    </r>
    <r>
      <rPr>
        <sz val="8"/>
        <rFont val="ＭＳ Ｐゴシック"/>
        <charset val="128"/>
        <color theme="1"/>
      </rPr>
      <t>国税総則法</t>
    </r>
    <r>
      <rPr>
        <sz val="8"/>
        <rFont val="Arial"/>
        <charset val="0"/>
        <color theme="1"/>
      </rPr>
      <t>17</t>
    </r>
    <r>
      <rPr>
        <sz val="8"/>
        <rFont val="ＭＳ Ｐゴシック"/>
        <charset val="128"/>
        <color theme="1"/>
      </rPr>
      <t>条</t>
    </r>
    <r>
      <rPr>
        <sz val="8"/>
        <rFont val="Arial"/>
        <charset val="0"/>
        <color theme="1"/>
      </rPr>
      <t xml:space="preserve"> C</t>
    </r>
    <r>
      <rPr>
        <sz val="8"/>
        <rFont val="ＭＳ Ｐゴシック"/>
        <charset val="128"/>
        <color theme="1"/>
      </rPr>
      <t>で還付（特定のステイタスとなる納税者）</t>
    </r>
  </si>
  <si>
    <r>
      <t xml:space="preserve">SKKPP </t>
    </r>
    <r>
      <rPr>
        <sz val="8"/>
        <rFont val="ＭＳ Ｐゴシック"/>
        <charset val="128"/>
        <color theme="1"/>
      </rPr>
      <t>国税総則法</t>
    </r>
    <r>
      <rPr>
        <sz val="8"/>
        <rFont val="Arial"/>
        <charset val="0"/>
        <color theme="1"/>
      </rPr>
      <t>17</t>
    </r>
    <r>
      <rPr>
        <sz val="8"/>
        <rFont val="ＭＳ Ｐゴシック"/>
        <charset val="128"/>
        <color theme="1"/>
      </rPr>
      <t>条</t>
    </r>
    <r>
      <rPr>
        <sz val="8"/>
        <rFont val="Arial"/>
        <charset val="0"/>
        <color theme="1"/>
      </rPr>
      <t>D</t>
    </r>
    <r>
      <rPr>
        <sz val="8"/>
        <rFont val="ＭＳ Ｐゴシック"/>
        <charset val="128"/>
        <color theme="1"/>
      </rPr>
      <t>で還付（一定の要件を満たす納税者）</t>
    </r>
  </si>
  <si>
    <t>資産コード</t>
  </si>
  <si>
    <t>負債コード</t>
  </si>
  <si>
    <t>身分証明書番号（インドネシア国籍以外の方はパスポート番号を記載ください</t>
  </si>
  <si>
    <t>所得税未納付（過払）額</t>
  </si>
  <si>
    <t>期末時点の資産・負債リスト</t>
  </si>
  <si>
    <t>期末時点の資産</t>
  </si>
  <si>
    <t>資産名</t>
  </si>
  <si>
    <t>摘要</t>
  </si>
  <si>
    <t>期末時点での資産合計額</t>
  </si>
  <si>
    <t>期末時点の負債</t>
  </si>
  <si>
    <t>債権者名</t>
  </si>
  <si>
    <t>債権者所在地</t>
  </si>
  <si>
    <t>負債発生年</t>
  </si>
  <si>
    <t>計</t>
  </si>
  <si>
    <t>期末時点での負債合計額</t>
  </si>
  <si>
    <t>雇用主による源泉徴収税　　　　　</t>
  </si>
  <si>
    <t>将来の所得税額から控除</t>
  </si>
  <si>
    <t>Income</t>
  </si>
  <si>
    <t>Tax paid/withheld</t>
  </si>
  <si>
    <t>Amount in IDR</t>
  </si>
  <si>
    <t>Currency</t>
  </si>
  <si>
    <t>Allowed FTC（Art。24）</t>
  </si>
  <si>
    <t xml:space="preserve">Penghasilan Neto </t>
  </si>
  <si>
    <t>Dalam Mata Uang Asing</t>
  </si>
  <si>
    <t>Dalam Rupiah</t>
  </si>
  <si>
    <t>Pajak yang dibayar /dipotong/terutang di luar negeri</t>
  </si>
  <si>
    <t>PPh Pasal 24 *)
(Rupiah)</t>
  </si>
  <si>
    <t>*) PERMOHONAN: JUMLAH PADA KOLOM (7) MOHON DIPERHITUNGKAN SEBAGAI KREDIT PAJAK</t>
  </si>
  <si>
    <t>Kredit Pajak Yang Diperbolehkan</t>
  </si>
  <si>
    <t>Pajak yang Dibayar/Dipotong</t>
  </si>
  <si>
    <t>PPh Pasal 24 Yang Diperbolehkan</t>
  </si>
  <si>
    <t>Tax paid/withheld - original currency</t>
  </si>
  <si>
    <t>Tax paid/withheld - (IDR)</t>
  </si>
  <si>
    <t>Allowed Art. 24</t>
  </si>
  <si>
    <t>Tax paid/withheld (IDR)</t>
  </si>
  <si>
    <t>所得額</t>
  </si>
  <si>
    <t>元の通貨(円)</t>
  </si>
  <si>
    <t>IDR</t>
  </si>
  <si>
    <t>日本の所得の合計</t>
  </si>
  <si>
    <t>イレギュラーな所得の合計</t>
  </si>
  <si>
    <t>Irregular tax credit</t>
  </si>
  <si>
    <t>Art. 24 income tax</t>
  </si>
  <si>
    <t>TOTAL NET INCOME</t>
  </si>
  <si>
    <t>ANNUALIZED INCOME TAX</t>
  </si>
  <si>
    <t>rounded down</t>
  </si>
  <si>
    <t>ネット給与所得とボーナス所得 [フォーム 1721-A1の14番]</t>
  </si>
  <si>
    <t>国外での納付税額／源泉税額</t>
  </si>
  <si>
    <t>外国税額控除適用額
(IDR)</t>
  </si>
  <si>
    <t>納付済税額／源泉税額</t>
  </si>
  <si>
    <t>国外での納付済税額</t>
  </si>
  <si>
    <t>外国税額控除適用額</t>
  </si>
  <si>
    <r>
      <t/>
    </r>
    <r>
      <rPr>
        <b/>
        <sz val="10"/>
        <rFont val="ＭＳ Ｐゴシック"/>
        <charset val="128"/>
        <color theme="1"/>
      </rPr>
      <t>減算</t>
    </r>
    <r>
      <rPr>
        <b/>
        <sz val="10"/>
        <rFont val="Arial"/>
        <charset val="0"/>
        <color theme="1"/>
      </rPr>
      <t xml:space="preserve">: </t>
    </r>
    <r>
      <rPr>
        <b/>
        <sz val="10"/>
        <rFont val="ＭＳ Ｐゴシック"/>
        <charset val="128"/>
        <color theme="1"/>
      </rPr>
      <t>イレギュラーな所得</t>
    </r>
  </si>
  <si>
    <t>減算　：</t>
  </si>
  <si>
    <t>日本／他国での所得の要約</t>
  </si>
  <si>
    <t>（納付済の予定納税額</t>
  </si>
  <si>
    <t>)</t>
  </si>
  <si>
    <t>JanFeb15</t>
  </si>
  <si>
    <t>JanMar15</t>
  </si>
  <si>
    <t>JanApr15</t>
  </si>
  <si>
    <t>JanMay15</t>
  </si>
  <si>
    <t>JanJun15</t>
  </si>
  <si>
    <t>JanJul15</t>
  </si>
  <si>
    <t>JanAug15</t>
  </si>
  <si>
    <t>JanSep15</t>
  </si>
  <si>
    <t>JanOct15</t>
  </si>
  <si>
    <t>JanNov15</t>
  </si>
  <si>
    <t>FebDec15</t>
  </si>
  <si>
    <t>MarDec15</t>
  </si>
  <si>
    <t>AprDec15</t>
  </si>
  <si>
    <t>MayDec15</t>
  </si>
  <si>
    <t>JunDec15</t>
  </si>
  <si>
    <t>JulDec15</t>
  </si>
  <si>
    <t>AugDec15</t>
  </si>
  <si>
    <t>SepDec15</t>
  </si>
  <si>
    <t>OctDec15</t>
  </si>
  <si>
    <t>NovDec15</t>
  </si>
  <si>
    <t>avgJan15</t>
  </si>
  <si>
    <t>avgFeb15</t>
  </si>
  <si>
    <t>avgMar15</t>
  </si>
  <si>
    <t>avgApr15</t>
  </si>
  <si>
    <t>avgMay15</t>
  </si>
  <si>
    <t>avgJun15</t>
  </si>
  <si>
    <t>avgJul15</t>
  </si>
  <si>
    <t>avgAug15</t>
  </si>
  <si>
    <t>avgSep15</t>
  </si>
  <si>
    <t>avgOct15</t>
  </si>
  <si>
    <t>avgNov15</t>
  </si>
  <si>
    <t>avgDec15</t>
  </si>
  <si>
    <t>………………………………………………………………………………….</t>
  </si>
  <si>
    <t>…………………………………………………………………………………………………</t>
  </si>
  <si>
    <t>…………………………………………………………………………………………...……</t>
  </si>
  <si>
    <t>……………………………………………………………………………….</t>
  </si>
  <si>
    <t>………………………………………………………………………………………………….……….</t>
  </si>
  <si>
    <t>………………………………………………………………………………………………………</t>
  </si>
  <si>
    <t>…………………………………………………………………………..</t>
  </si>
  <si>
    <t>…………………………………………………..</t>
  </si>
  <si>
    <t>…………………………………………………………………………….</t>
  </si>
  <si>
    <t>………………………………………………</t>
  </si>
  <si>
    <t>……………………………………………………………………………..</t>
  </si>
  <si>
    <t>J1</t>
  </si>
  <si>
    <t>Code</t>
  </si>
  <si>
    <t>English</t>
  </si>
  <si>
    <t>Indonesia</t>
  </si>
  <si>
    <t>J2</t>
  </si>
  <si>
    <t>J3</t>
  </si>
  <si>
    <t>J4</t>
  </si>
  <si>
    <t>J5</t>
  </si>
  <si>
    <t>J6</t>
  </si>
  <si>
    <t>Penghasilan lainnya</t>
  </si>
  <si>
    <t>Penghasilan dari Jepang</t>
  </si>
  <si>
    <t>Bonus</t>
  </si>
  <si>
    <t>Tunjangan pajak</t>
  </si>
  <si>
    <t>WITH 1721-A1 (INCLUDING PART TAX TREATY)</t>
  </si>
  <si>
    <r>
      <t xml:space="preserve">WITHOUT 1721-A1 - </t>
    </r>
    <r>
      <rPr>
        <b/>
        <sz val="10"/>
        <rFont val="Arial"/>
        <charset val="0"/>
        <color rgb="FFFF0000"/>
      </rPr>
      <t>please use Form 1770</t>
    </r>
  </si>
  <si>
    <t>REFERENCE NUMBER</t>
  </si>
  <si>
    <t>DETAILS (BANK'S NAME/OTHERS)</t>
  </si>
  <si>
    <t>Type</t>
  </si>
  <si>
    <t xml:space="preserve">Account </t>
  </si>
  <si>
    <t xml:space="preserve">Code </t>
  </si>
  <si>
    <t xml:space="preserve">Total Amount </t>
  </si>
  <si>
    <t xml:space="preserve">Assets Code </t>
  </si>
  <si>
    <t>DETAILS (BORROWER/OTHERS)</t>
  </si>
  <si>
    <t xml:space="preserve">Liabilities Code </t>
  </si>
  <si>
    <t>DETAILS</t>
  </si>
  <si>
    <t>DETAILS (TYPE, BORROWER, etc)</t>
  </si>
  <si>
    <t>NET ASSETS</t>
  </si>
  <si>
    <t xml:space="preserve">受領債権Receivables
</t>
  </si>
  <si>
    <t>電気製品、家具 Electronic equipment, furniture</t>
  </si>
  <si>
    <t>クレジット・カード Credit Cards</t>
  </si>
  <si>
    <t>関連者からの借入 Loans from related parties</t>
  </si>
  <si>
    <t>その他の負債 Other liabilities</t>
  </si>
  <si>
    <t xml:space="preserve">WEEKLY EXCHANGE RATES </t>
  </si>
  <si>
    <t>ISSUED BY MINISTRY OF FINANCE - YEAR 2016</t>
  </si>
  <si>
    <t>Country</t>
  </si>
  <si>
    <t>Japan</t>
  </si>
  <si>
    <t>United States</t>
  </si>
  <si>
    <t>1 JPY</t>
  </si>
  <si>
    <t> 1 USD</t>
  </si>
  <si>
    <t>6 - 12 Jan 2016</t>
  </si>
  <si>
    <t>13 - 19 Jan 2016</t>
  </si>
  <si>
    <t>20 - 26 Jan 2016</t>
  </si>
  <si>
    <t>27 Jan - 2 Feb 2016</t>
  </si>
  <si>
    <t>3 - 9 Feb 2016</t>
  </si>
  <si>
    <t>10 - 16 Feb 2016</t>
  </si>
  <si>
    <t>17 - 23 Feb 2016</t>
  </si>
  <si>
    <t>24 Feb - 1 Mar 2016</t>
  </si>
  <si>
    <t>2 - 8 Mar 2016</t>
  </si>
  <si>
    <t>9 - 15 Mar 2016</t>
  </si>
  <si>
    <t>16 - 22 Mar 2016</t>
  </si>
  <si>
    <t>23 - 29 Mar 2016</t>
  </si>
  <si>
    <t>30 Mar -      5 Apr 2016</t>
  </si>
  <si>
    <t>6 - 12 Apr 2016</t>
  </si>
  <si>
    <t>13 - 19 Apr 2016</t>
  </si>
  <si>
    <t>20 - 26 Apr 2016</t>
  </si>
  <si>
    <t>27 Apr - 3 May 2016</t>
  </si>
  <si>
    <t>4 - 10 May 2016</t>
  </si>
  <si>
    <t>11 - 17 May 2016</t>
  </si>
  <si>
    <t>18 - 24 May 2016</t>
  </si>
  <si>
    <t>25 - 31 May 2016</t>
  </si>
  <si>
    <t>1 - 7 June 2016</t>
  </si>
  <si>
    <t>8 - 14 June 2016</t>
  </si>
  <si>
    <t>15 - 21 June 2016</t>
  </si>
  <si>
    <t>22 - 28 June 2016</t>
  </si>
  <si>
    <t>29 June - 12 July 2016</t>
  </si>
  <si>
    <t>13 July - 19 July 2016</t>
  </si>
  <si>
    <t>20 - 26 July 2016</t>
  </si>
  <si>
    <t>27 July - 2 August 2016</t>
  </si>
  <si>
    <t>3 - 9 August 2016</t>
  </si>
  <si>
    <t>10 - 16 August 2016</t>
  </si>
  <si>
    <t>17 - 23 August 2016</t>
  </si>
  <si>
    <t>24 - 30 August 2016</t>
  </si>
  <si>
    <t>31 Aug - 6 Sept 2016</t>
  </si>
  <si>
    <t>7 - 13 Sept 2016</t>
  </si>
  <si>
    <t>14 - 20 Sept 2016</t>
  </si>
  <si>
    <t>21 - 27 Sept 2016</t>
  </si>
  <si>
    <t>28 Sept - 04 Okt 2016</t>
  </si>
  <si>
    <t>05 - 11 Okt 2016</t>
  </si>
  <si>
    <t>12 - 18 Okt 2016</t>
  </si>
  <si>
    <t>19 - 25 Okt 2016</t>
  </si>
  <si>
    <t>26 Okt - 1 Nov 2016</t>
  </si>
  <si>
    <t>2 - 8 Nov 2016</t>
  </si>
  <si>
    <t>Average by year</t>
  </si>
  <si>
    <t>Average by month</t>
  </si>
  <si>
    <t>avgJan16</t>
  </si>
  <si>
    <t>avgFeb16</t>
  </si>
  <si>
    <t>avgMar16</t>
  </si>
  <si>
    <t>avgApr16</t>
  </si>
  <si>
    <t>avgMay16</t>
  </si>
  <si>
    <t>avgJun16</t>
  </si>
  <si>
    <t>avgJul16</t>
  </si>
  <si>
    <t>avgAug16</t>
  </si>
  <si>
    <t>avgSep16</t>
  </si>
  <si>
    <t>avgOct16</t>
  </si>
  <si>
    <t>avgNov16</t>
  </si>
  <si>
    <t>avgDec16</t>
  </si>
  <si>
    <t>Average by accumulated month</t>
  </si>
  <si>
    <t>JanFeb16</t>
  </si>
  <si>
    <t>JanMar16</t>
  </si>
  <si>
    <t>JanApr16</t>
  </si>
  <si>
    <t>JanMay16</t>
  </si>
  <si>
    <t>JanJun16</t>
  </si>
  <si>
    <t>JanJul16</t>
  </si>
  <si>
    <t>JanAug16</t>
  </si>
  <si>
    <t>JanSep16</t>
  </si>
  <si>
    <t>JanOct16</t>
  </si>
  <si>
    <t>JanNov16</t>
  </si>
  <si>
    <t>FebDec16</t>
  </si>
  <si>
    <t>MarDec16</t>
  </si>
  <si>
    <t>AprDec16</t>
  </si>
  <si>
    <t>MayDec16</t>
  </si>
  <si>
    <t>JunDec16</t>
  </si>
  <si>
    <t>JulDec16</t>
  </si>
  <si>
    <t>AugDec16</t>
  </si>
  <si>
    <t>SepDec16</t>
  </si>
  <si>
    <t>OctDec16</t>
  </si>
  <si>
    <t>NovDec16</t>
  </si>
  <si>
    <t>JanDec16</t>
  </si>
  <si>
    <t>回目の修正</t>
  </si>
  <si>
    <t>納税者番号</t>
  </si>
  <si>
    <r>
      <t/>
    </r>
    <r>
      <rPr>
        <sz val="8"/>
        <rFont val="ＭＳ Ｐゴシック"/>
        <charset val="128"/>
        <color theme="1"/>
      </rPr>
      <t>所得税法</t>
    </r>
    <r>
      <rPr>
        <sz val="8"/>
        <rFont val="Arial"/>
        <charset val="0"/>
        <color theme="1"/>
      </rPr>
      <t>24</t>
    </r>
    <r>
      <rPr>
        <sz val="8"/>
        <rFont val="ＭＳ Ｐゴシック"/>
        <charset val="128"/>
        <color theme="1"/>
      </rPr>
      <t>条（外国での納付税額）のうち、減額した・還付された額</t>
    </r>
  </si>
  <si>
    <r>
      <t xml:space="preserve">b. </t>
    </r>
    <r>
      <rPr>
        <sz val="8"/>
        <rFont val="ＭＳ Ｐゴシック"/>
        <charset val="128"/>
        <color theme="1"/>
      </rPr>
      <t>所得税過払額</t>
    </r>
    <r>
      <rPr>
        <sz val="8"/>
        <rFont val="Arial"/>
        <charset val="0"/>
        <color theme="1"/>
      </rPr>
      <t xml:space="preserve"> (</t>
    </r>
    <r>
      <rPr>
        <sz val="8"/>
        <rFont val="ＭＳ Ｐゴシック"/>
        <charset val="128"/>
        <color theme="1"/>
      </rPr>
      <t>所得税法</t>
    </r>
    <r>
      <rPr>
        <sz val="8"/>
        <rFont val="Arial"/>
        <charset val="0"/>
        <color theme="1"/>
      </rPr>
      <t>28 A)</t>
    </r>
  </si>
  <si>
    <t>を宣言します。</t>
  </si>
  <si>
    <t>資産の譲渡益</t>
  </si>
  <si>
    <t>株式会社／パートナーシップの形を取らない共同体などでの利益配分</t>
  </si>
  <si>
    <t>源泉された税額、他者に徴収された税額及び政府負担の税額のリスト</t>
  </si>
  <si>
    <t>所得税合計</t>
  </si>
  <si>
    <r>
      <t>(ファイナル</t>
    </r>
    <r>
      <rPr>
        <b/>
        <sz val="12"/>
        <rFont val="ＭＳ Ｐゴシック"/>
        <charset val="128"/>
        <color theme="1"/>
      </rPr>
      <t>課税、ファイナルの性質を持つ所得は含まない</t>
    </r>
    <r>
      <rPr>
        <b/>
        <sz val="12"/>
        <rFont val="Arial"/>
        <charset val="0"/>
        <color theme="1"/>
      </rPr>
      <t>)</t>
    </r>
  </si>
  <si>
    <t>ファイナル課税、ファイナルの性質をもつ所得</t>
  </si>
  <si>
    <t>証券取引所における株式の売買額</t>
  </si>
  <si>
    <t>土地･建物の譲渡額</t>
  </si>
  <si>
    <t>組合から組合員への分配金</t>
  </si>
  <si>
    <t>ファイナル課税の対象となるその他の所得</t>
  </si>
  <si>
    <t>期末の資産リスト</t>
  </si>
  <si>
    <t>期末の負債リスト</t>
  </si>
  <si>
    <t>債権者</t>
  </si>
  <si>
    <t>取得</t>
  </si>
  <si>
    <t>住所</t>
  </si>
  <si>
    <t>年度</t>
  </si>
  <si>
    <t>イレギュラーな所得のリスト</t>
  </si>
  <si>
    <t>a r e a   s t a p l e s</t>
  </si>
  <si>
    <t>ARTICLE 21 INCOME TAX WITHHOLDING SLIP FOR PERMANENT EMPLOYEE OR PENSION / OLD AGE SAVING BENEFICIARY</t>
  </si>
  <si>
    <t>FORM 1721 - A1</t>
  </si>
  <si>
    <t xml:space="preserve">MINISTRY OF FINANCE </t>
  </si>
  <si>
    <t xml:space="preserve"> [mm - mm]</t>
  </si>
  <si>
    <t>THE DIRECTORATE GENERAL OF TAXATION</t>
  </si>
  <si>
    <t>H.01</t>
  </si>
  <si>
    <t>H.02</t>
  </si>
  <si>
    <t>H.03</t>
  </si>
  <si>
    <t>H.04</t>
  </si>
  <si>
    <t>A.源泉対象となる所得の受領者のステイタス</t>
  </si>
  <si>
    <t>A.01</t>
  </si>
  <si>
    <t>身分証明/パスポート番号</t>
  </si>
  <si>
    <t>A.02</t>
  </si>
  <si>
    <t>PA /</t>
  </si>
  <si>
    <t>A.07</t>
  </si>
  <si>
    <t>A.08</t>
  </si>
  <si>
    <t>A.09</t>
  </si>
  <si>
    <t>A.03</t>
  </si>
  <si>
    <t>A.10</t>
  </si>
  <si>
    <t>A.04</t>
  </si>
  <si>
    <t>A.11</t>
  </si>
  <si>
    <t>YES</t>
  </si>
  <si>
    <t>A.12</t>
  </si>
  <si>
    <t>A.05</t>
  </si>
  <si>
    <t>A.06</t>
  </si>
  <si>
    <t>B. 所得の明細と第21条源泉税の計算</t>
  </si>
  <si>
    <t>詳細</t>
  </si>
  <si>
    <t xml:space="preserve">  TAX OBJECT CODE</t>
  </si>
  <si>
    <t>21-100-01</t>
  </si>
  <si>
    <t xml:space="preserve"> 21-100-02</t>
  </si>
  <si>
    <t xml:space="preserve">その他手当、残業手当、など </t>
  </si>
  <si>
    <t>謝礼とその他報酬</t>
  </si>
  <si>
    <t>雇用者により支払われた保険料</t>
  </si>
  <si>
    <t>役員賞与、賞与、著作権使用料、休暇手当</t>
  </si>
  <si>
    <t>控除 :</t>
  </si>
  <si>
    <t xml:space="preserve">所得に係わる業務関連費用又は年金費用 </t>
  </si>
  <si>
    <t>老齢貯蓄負担額</t>
  </si>
  <si>
    <t>第21条所得税の計算　：</t>
  </si>
  <si>
    <t>ネット所得合計  (8-11)</t>
  </si>
  <si>
    <t>前期のネット所得</t>
  </si>
  <si>
    <t>C. 源泉義務者（雇用者等）の情報</t>
  </si>
  <si>
    <t>C.01</t>
  </si>
  <si>
    <t>3. 日付及び署名</t>
  </si>
  <si>
    <t>C.02</t>
  </si>
  <si>
    <t>C.03</t>
  </si>
  <si>
    <t>[dd - mm - yyyy]</t>
  </si>
  <si>
    <t xml:space="preserve">**)上述のPPh25税額はKEP537/PJ/2000に従って計算されています </t>
  </si>
  <si>
    <t>Company</t>
  </si>
  <si>
    <t>DRMS approve date</t>
  </si>
  <si>
    <t>EL</t>
  </si>
  <si>
    <t>EL Sign date</t>
  </si>
  <si>
    <t>Year</t>
  </si>
  <si>
    <t>JanMar17</t>
  </si>
  <si>
    <t>JanApr17</t>
  </si>
  <si>
    <t>JanMay17</t>
  </si>
  <si>
    <t>JanJun17</t>
  </si>
  <si>
    <t>JanJul17</t>
  </si>
  <si>
    <t>JanAug17</t>
  </si>
  <si>
    <t>JanSep17</t>
  </si>
  <si>
    <t>JanOct17</t>
  </si>
  <si>
    <t>JanNov17</t>
  </si>
  <si>
    <t>JanDec17</t>
  </si>
  <si>
    <t>FebDec17</t>
  </si>
  <si>
    <t>MarDec17</t>
  </si>
  <si>
    <t>AprDec17</t>
  </si>
  <si>
    <t>MayDec17</t>
  </si>
  <si>
    <t>JunDec17</t>
  </si>
  <si>
    <t>JulDec17</t>
  </si>
  <si>
    <t>AugDec17</t>
  </si>
  <si>
    <t>SepDec17</t>
  </si>
  <si>
    <t>OctDec17</t>
  </si>
  <si>
    <t>NovDec17</t>
  </si>
  <si>
    <t>JanFeb17</t>
  </si>
  <si>
    <t>avgFeb17</t>
  </si>
  <si>
    <t>avgMar17</t>
  </si>
  <si>
    <t>avgApr17</t>
  </si>
  <si>
    <t>avgMay17</t>
  </si>
  <si>
    <t>avgJun17</t>
  </si>
  <si>
    <t>avgJul17</t>
  </si>
  <si>
    <t>avgAug17</t>
  </si>
  <si>
    <t>avgSep17</t>
  </si>
  <si>
    <t>avgOct17</t>
  </si>
  <si>
    <t>avgNov17</t>
  </si>
  <si>
    <t>avgDec17</t>
  </si>
  <si>
    <t>avgJan17</t>
  </si>
  <si>
    <t>13,319.00 </t>
  </si>
  <si>
    <t>13.322,00</t>
  </si>
  <si>
    <t>13.319,00</t>
  </si>
  <si>
    <t>13,330.00 </t>
  </si>
  <si>
    <r>
      <t/>
    </r>
    <r>
      <rPr>
        <sz val="6.9"/>
        <rFont val="Arial"/>
        <charset val="0"/>
        <color theme="1"/>
      </rPr>
      <t>国別コード</t>
    </r>
    <r>
      <rPr>
        <sz val="6"/>
        <rFont val="Arial"/>
        <charset val="0"/>
        <color theme="1"/>
      </rPr>
      <t xml:space="preserve"> :</t>
    </r>
  </si>
  <si>
    <r>
      <t/>
    </r>
    <r>
      <rPr>
        <sz val="6.9"/>
        <rFont val="Arial"/>
        <charset val="0"/>
        <color theme="1"/>
      </rPr>
      <t>扶養家族（非課税所得）</t>
    </r>
    <r>
      <rPr>
        <sz val="6"/>
        <rFont val="Arial"/>
        <charset val="0"/>
        <color theme="1"/>
      </rPr>
      <t xml:space="preserve"> :</t>
    </r>
  </si>
  <si>
    <r>
      <t/>
    </r>
    <r>
      <rPr>
        <sz val="6.9"/>
        <rFont val="Arial"/>
        <charset val="0"/>
        <color theme="1"/>
      </rPr>
      <t>役職</t>
    </r>
    <r>
      <rPr>
        <sz val="6"/>
        <rFont val="Arial"/>
        <charset val="0"/>
        <color theme="1"/>
      </rPr>
      <t xml:space="preserve"> :</t>
    </r>
  </si>
  <si>
    <r>
      <t/>
    </r>
    <r>
      <rPr>
        <sz val="6.9"/>
        <rFont val="Arial"/>
        <charset val="0"/>
        <color theme="1"/>
      </rPr>
      <t>外国籍</t>
    </r>
    <r>
      <rPr>
        <sz val="6"/>
        <rFont val="Arial"/>
        <charset val="0"/>
        <color theme="1"/>
      </rPr>
      <t xml:space="preserve"> :</t>
    </r>
  </si>
  <si>
    <r>
      <t/>
    </r>
    <r>
      <rPr>
        <sz val="6.9"/>
        <rFont val="Arial"/>
        <charset val="0"/>
        <color theme="1"/>
      </rPr>
      <t>性別</t>
    </r>
    <r>
      <rPr>
        <sz val="6"/>
        <rFont val="Arial"/>
        <charset val="0"/>
        <color theme="1"/>
      </rPr>
      <t xml:space="preserve">    :</t>
    </r>
  </si>
  <si>
    <r>
      <t/>
    </r>
    <r>
      <rPr>
        <b/>
        <sz val="9.2"/>
        <rFont val="Arial"/>
        <charset val="0"/>
        <color theme="1"/>
      </rPr>
      <t xml:space="preserve">金額 </t>
    </r>
    <r>
      <rPr>
        <b/>
        <sz val="8"/>
        <rFont val="Arial"/>
        <charset val="0"/>
        <color theme="1"/>
      </rPr>
      <t>(Rp)</t>
    </r>
  </si>
  <si>
    <r>
      <t xml:space="preserve">所得 / 年金又は </t>
    </r>
    <r>
      <rPr>
        <sz val="9.2"/>
        <rFont val="Arial"/>
        <charset val="0"/>
        <color theme="1"/>
      </rPr>
      <t>老齢貯蓄</t>
    </r>
  </si>
  <si>
    <r>
      <t>第21条所得税</t>
    </r>
    <r>
      <rPr>
        <sz val="9.2"/>
        <rFont val="Arial"/>
        <charset val="0"/>
        <color theme="1"/>
      </rPr>
      <t>の</t>
    </r>
    <r>
      <rPr>
        <sz val="8"/>
        <rFont val="Arial"/>
        <charset val="0"/>
        <color theme="1"/>
      </rPr>
      <t>課税対象となる現物給与とその他給付</t>
    </r>
  </si>
  <si>
    <r>
      <t xml:space="preserve">グロス所得の合計  (1 </t>
    </r>
    <r>
      <rPr>
        <sz val="9.2"/>
        <rFont val="Arial"/>
        <charset val="0"/>
        <color theme="1"/>
      </rPr>
      <t xml:space="preserve">～ </t>
    </r>
    <r>
      <rPr>
        <sz val="8"/>
        <rFont val="Arial"/>
        <charset val="0"/>
        <color theme="1"/>
      </rPr>
      <t>7)</t>
    </r>
  </si>
  <si>
    <r>
      <t xml:space="preserve">合計 (9 </t>
    </r>
    <r>
      <rPr>
        <sz val="9.2"/>
        <rFont val="Arial"/>
        <charset val="0"/>
        <color theme="1"/>
      </rPr>
      <t>～</t>
    </r>
    <r>
      <rPr>
        <sz val="8"/>
        <rFont val="Arial"/>
        <charset val="0"/>
        <color theme="1"/>
      </rPr>
      <t>10)</t>
    </r>
  </si>
  <si>
    <t>第21条所得税計算の対象となるネット所得（年額／年換算額）の合計</t>
  </si>
  <si>
    <r>
      <t>年額／年換算</t>
    </r>
    <r>
      <rPr>
        <sz val="9.2"/>
        <rFont val="Arial"/>
        <charset val="0"/>
        <color theme="1"/>
      </rPr>
      <t>額</t>
    </r>
    <r>
      <rPr>
        <sz val="8"/>
        <rFont val="Arial"/>
        <charset val="0"/>
        <color theme="1"/>
      </rPr>
      <t>の課税所得の合計 (14-15)</t>
    </r>
  </si>
  <si>
    <r>
      <t>年</t>
    </r>
    <r>
      <rPr>
        <sz val="9.2"/>
        <rFont val="Arial"/>
        <charset val="0"/>
        <color theme="1"/>
      </rPr>
      <t>額</t>
    </r>
    <r>
      <rPr>
        <sz val="8"/>
        <rFont val="Arial"/>
        <charset val="0"/>
        <color theme="1"/>
      </rPr>
      <t>／年換算額の課税所得の第21条所得税</t>
    </r>
  </si>
  <si>
    <r>
      <t/>
    </r>
    <r>
      <rPr>
        <sz val="9.2"/>
        <rFont val="Arial"/>
        <charset val="0"/>
        <color theme="1"/>
      </rPr>
      <t>前雇用者によって控除されている</t>
    </r>
    <r>
      <rPr>
        <sz val="8"/>
        <rFont val="Arial"/>
        <charset val="0"/>
        <color theme="1"/>
      </rPr>
      <t>第21条所得税</t>
    </r>
  </si>
  <si>
    <r>
      <t>第21条所得税額</t>
    </r>
    <r>
      <rPr>
        <sz val="9.2"/>
        <rFont val="Arial"/>
        <charset val="0"/>
        <color theme="1"/>
      </rPr>
      <t>(17-18)</t>
    </r>
  </si>
  <si>
    <r>
      <t>既に</t>
    </r>
    <r>
      <rPr>
        <sz val="9.2"/>
        <rFont val="Arial"/>
        <charset val="0"/>
        <color theme="1"/>
      </rPr>
      <t>納付済</t>
    </r>
    <r>
      <rPr>
        <sz val="8"/>
        <rFont val="Arial"/>
        <charset val="0"/>
        <color theme="1"/>
      </rPr>
      <t>の第21条及び第26所得税</t>
    </r>
  </si>
  <si>
    <r>
      <t>1</t>
    </r>
    <r>
      <rPr>
        <sz val="9.2"/>
        <rFont val="Arial"/>
        <charset val="0"/>
        <color theme="1"/>
      </rPr>
      <t>枚</t>
    </r>
    <r>
      <rPr>
        <sz val="8"/>
        <rFont val="Arial"/>
        <charset val="0"/>
        <color theme="1"/>
      </rPr>
      <t>目は 納税者の</t>
    </r>
  </si>
  <si>
    <r>
      <t>2</t>
    </r>
    <r>
      <rPr>
        <sz val="9.2"/>
        <rFont val="Arial"/>
        <charset val="0"/>
        <color theme="1"/>
      </rPr>
      <t>枚</t>
    </r>
    <r>
      <rPr>
        <sz val="8"/>
        <rFont val="Arial"/>
        <charset val="0"/>
        <color theme="1"/>
      </rPr>
      <t>目は源泉徴収者の</t>
    </r>
  </si>
  <si>
    <r>
      <t/>
    </r>
    <r>
      <rPr>
        <b/>
        <sz val="9.2"/>
        <rFont val="Arial"/>
        <charset val="0"/>
        <color theme="1"/>
      </rPr>
      <t>対象期間</t>
    </r>
    <r>
      <rPr>
        <b/>
        <sz val="8"/>
        <rFont val="Arial"/>
        <charset val="0"/>
        <color theme="1"/>
      </rPr>
      <t>　：　</t>
    </r>
  </si>
  <si>
    <t xml:space="preserve">**) Saya telah menghitung PPh 25 diatas berdasarkan KEP 537/PJ/2000. </t>
  </si>
  <si>
    <t>SURAT PENUNJUKAN</t>
  </si>
  <si>
    <t>Yang bertanda tangan di bawah ini:</t>
  </si>
  <si>
    <t>dengan ini menunjuk:</t>
  </si>
  <si>
    <t>Demikian surat penugasan ini dibuat untuk dipergunakan sebagaimana mestinya.</t>
  </si>
  <si>
    <t>Jakarta,</t>
  </si>
  <si>
    <t>Yang Memberi Tugas</t>
  </si>
  <si>
    <t>Yang Menerima Tugas</t>
  </si>
  <si>
    <t>Deloitte Touche Solutions</t>
  </si>
  <si>
    <t>APPOINTMENT LETTER</t>
  </si>
  <si>
    <t>I, the undersigned taxpayer:</t>
  </si>
  <si>
    <t>Hereby assigned:</t>
  </si>
  <si>
    <t>This statement letter is made to be used as appropriate</t>
  </si>
  <si>
    <r>
      <t>Nama/</t>
    </r>
    <r>
      <rPr>
        <i/>
        <u val="single"/>
        <sz val="10"/>
        <rFont val="Arial"/>
        <charset val="0"/>
        <color theme="1"/>
      </rPr>
      <t>Name</t>
    </r>
  </si>
  <si>
    <r>
      <t xml:space="preserve">No. Identitas/ </t>
    </r>
    <r>
      <rPr>
        <i/>
        <u val="single"/>
        <sz val="10"/>
        <rFont val="Arial"/>
        <charset val="0"/>
        <color theme="1"/>
      </rPr>
      <t>ID Number</t>
    </r>
  </si>
  <si>
    <r>
      <t xml:space="preserve">NPWP/ </t>
    </r>
    <r>
      <rPr>
        <i/>
        <u val="single"/>
        <sz val="10"/>
        <rFont val="Arial"/>
        <charset val="0"/>
        <color theme="1"/>
      </rPr>
      <t>Tax ID Number</t>
    </r>
  </si>
  <si>
    <r>
      <t xml:space="preserve">Wajb Pajak/ </t>
    </r>
    <r>
      <rPr>
        <b/>
        <i/>
        <sz val="10"/>
        <rFont val="Arial"/>
        <charset val="0"/>
        <color theme="1"/>
      </rPr>
      <t>Taxpayer</t>
    </r>
  </si>
  <si>
    <r>
      <t xml:space="preserve">Nama/ </t>
    </r>
    <r>
      <rPr>
        <i/>
        <sz val="10"/>
        <rFont val="Arial"/>
        <charset val="0"/>
        <color theme="1"/>
      </rPr>
      <t>Name</t>
    </r>
    <r>
      <rPr>
        <sz val="10"/>
        <rFont val="Arial"/>
        <charset val="0"/>
        <color theme="1"/>
      </rPr>
      <t xml:space="preserve"> </t>
    </r>
  </si>
  <si>
    <r>
      <t xml:space="preserve">NPWP/ </t>
    </r>
    <r>
      <rPr>
        <i/>
        <sz val="10"/>
        <rFont val="Arial"/>
        <charset val="0"/>
        <color theme="1"/>
      </rPr>
      <t>Tax ID Number</t>
    </r>
  </si>
  <si>
    <r>
      <t xml:space="preserve">Alamat/ </t>
    </r>
    <r>
      <rPr>
        <i/>
        <sz val="10"/>
        <rFont val="Arial"/>
        <charset val="0"/>
        <color theme="1"/>
      </rPr>
      <t>Address</t>
    </r>
    <r>
      <rPr>
        <sz val="10"/>
        <rFont val="Arial"/>
        <charset val="0"/>
        <color theme="1"/>
      </rPr>
      <t xml:space="preserve"> </t>
    </r>
  </si>
  <si>
    <t>avgJan18</t>
  </si>
  <si>
    <t>avgFeb18</t>
  </si>
  <si>
    <t>avgMar18</t>
  </si>
  <si>
    <t>avgApr18</t>
  </si>
  <si>
    <t>avgMay18</t>
  </si>
  <si>
    <t>avgJun18</t>
  </si>
  <si>
    <t>avgJul18</t>
  </si>
  <si>
    <t>avgAug18</t>
  </si>
  <si>
    <t>avgSep18</t>
  </si>
  <si>
    <t>avgOct18</t>
  </si>
  <si>
    <t>avgNov18</t>
  </si>
  <si>
    <t>avgDec18</t>
  </si>
  <si>
    <t>JanFeb18</t>
  </si>
  <si>
    <t>JanMar18</t>
  </si>
  <si>
    <t>JanApr18</t>
  </si>
  <si>
    <t>JanMay18</t>
  </si>
  <si>
    <t>JanJun18</t>
  </si>
  <si>
    <t>JanJul18</t>
  </si>
  <si>
    <t>JanAug18</t>
  </si>
  <si>
    <t>JanSep18</t>
  </si>
  <si>
    <t>JanOct18</t>
  </si>
  <si>
    <t>JanNov18</t>
  </si>
  <si>
    <t>FebDec18</t>
  </si>
  <si>
    <t>MarDec18</t>
  </si>
  <si>
    <t>AprDec18</t>
  </si>
  <si>
    <t>MayDec18</t>
  </si>
  <si>
    <t>JunDec18</t>
  </si>
  <si>
    <t>JulDec18</t>
  </si>
  <si>
    <t>AugDec18</t>
  </si>
  <si>
    <t>SepDec18</t>
  </si>
  <si>
    <t>OctDec18</t>
  </si>
  <si>
    <t>NovDec18</t>
  </si>
  <si>
    <t>YEAR 2014</t>
  </si>
  <si>
    <t>YEAR 2015</t>
  </si>
  <si>
    <t>YEAR 2016</t>
  </si>
  <si>
    <t>13,554.00 </t>
  </si>
  <si>
    <t>13,445.00 </t>
  </si>
  <si>
    <t>13.762,00</t>
  </si>
  <si>
    <t>13.752,00</t>
  </si>
  <si>
    <t>Year of Acquisiition</t>
  </si>
  <si>
    <t>Account ID</t>
  </si>
  <si>
    <t xml:space="preserve">Form 1770S -II </t>
  </si>
  <si>
    <t xml:space="preserve">Year of Acquisition Detail </t>
  </si>
  <si>
    <t>to submit and / or receive tax documents in the form of 2018 Annual Income Tax Return on behalf of the above in the Tax Office of Badan dan Orang Asing.</t>
  </si>
  <si>
    <t xml:space="preserve">you can edit this row </t>
  </si>
  <si>
    <t>untuk menyampaikan dan/atau menerima dokumen perpajakan berupa SPT Tahunan orang pribadi tahun 2018 atas nama tersebut di atas di Kantor Pelayanan Pajak Badan dan Orang Asing.</t>
  </si>
  <si>
    <t>Pindahan Saldo</t>
  </si>
  <si>
    <t>BAGI WAJIB PAJAK YANG MEMPUNYAI PENGHASILAN :</t>
  </si>
  <si>
    <t>DARI SATU ATAU LEBIH PEMBERI KERJA;</t>
  </si>
  <si>
    <t>DALAM NEGERI LAINNYA; DAN/ATAU</t>
  </si>
  <si>
    <t>Tahun Perolehan nya mau ditengah</t>
  </si>
  <si>
    <t>Tahun Perolehan mau ditengah</t>
  </si>
  <si>
    <t>Baris pertama kode nya diapus, trus descriptionnya mau "carryforward balance"</t>
  </si>
  <si>
    <t>Nama PT nya mau ditengah kaya yang bahasa jepangnya</t>
  </si>
  <si>
    <t>Kode harta sama tahun perolehan untuk pindahan saldo mau diapus</t>
  </si>
  <si>
    <t>Kolomnya digedein dikit ya'</t>
  </si>
  <si>
    <t>Tahun peminjaman nya format nya mau diganti</t>
  </si>
  <si>
    <t>Carryforward balance</t>
  </si>
  <si>
    <t>Pindahan saldo</t>
  </si>
  <si>
    <t>JP</t>
  </si>
  <si>
    <t>ID</t>
  </si>
  <si>
    <t>1770S - Japan</t>
  </si>
  <si>
    <t>H</t>
  </si>
  <si>
    <t>UNDERPAYMENT / OVERPAYMENT</t>
  </si>
  <si>
    <t>No</t>
  </si>
  <si>
    <t>Kode Jenis Setoran</t>
  </si>
  <si>
    <t>NTPN</t>
  </si>
  <si>
    <t>Total Payment</t>
  </si>
  <si>
    <t>Payment Date</t>
  </si>
  <si>
    <t>100 | Masa PPh Pasal 25 Orang Pribadi</t>
  </si>
  <si>
    <t>101 | Masa PPh Pasal 25 Orang Pribadi Tertentu</t>
  </si>
  <si>
    <t>119 | Pembayaran Pendahuluan skp PPh Pasal 25 Orang Pribadi</t>
  </si>
  <si>
    <t>200 | Tahunan PPh Orang Pribadi</t>
  </si>
  <si>
    <t>300 | STP PPh Orang Pribadi</t>
  </si>
  <si>
    <t>310 | SKPKB PPh Orang Pribadi</t>
  </si>
  <si>
    <t>320 | SKPKBT PPh Orang Pribadi</t>
  </si>
  <si>
    <t>390 | Pembayaran Atas Surat keputusan Pembetulan, Surat Keputusan Keberatan, atau Putusan Banding</t>
  </si>
  <si>
    <t>011</t>
  </si>
  <si>
    <t>012</t>
  </si>
  <si>
    <t>049</t>
  </si>
  <si>
    <t>Setara Kas Lainnya</t>
  </si>
  <si>
    <t>Piutang Lainnya</t>
  </si>
  <si>
    <t>Saham yang Dibeli Untuk Dijual Kembali</t>
  </si>
  <si>
    <t>Surat Utang Lainnya</t>
  </si>
  <si>
    <t>Instrumen Derivatif</t>
  </si>
  <si>
    <t>Penyertaan Modal Dalam Perusahaan Lain yang Tidak Atas Saham</t>
  </si>
  <si>
    <t>Investasi Lainnya</t>
  </si>
  <si>
    <t>Alat Transportasi Lainnya</t>
  </si>
  <si>
    <t>Logam Mulia</t>
  </si>
  <si>
    <t>Batu Mulia</t>
  </si>
  <si>
    <t>Barang Seni dan Antik</t>
  </si>
  <si>
    <t>Kapal Pesiar, Pesawat Terbang, Helikopter, Jetski, Peralatan Olahraga Khusus</t>
  </si>
  <si>
    <t>Peralatan Elektronik, Furnitur</t>
  </si>
  <si>
    <t>Harta Bergerak Lainnya</t>
  </si>
  <si>
    <t>Tanah dan/atau Bangunan Untuk Tempat Tinggal</t>
  </si>
  <si>
    <t>Tanah dan/atau Bangunan Untuk Usaha</t>
  </si>
  <si>
    <t>Tanah atau Lahan Untuk Usaha</t>
  </si>
  <si>
    <t>Harta Tidak Gerak Lainnya</t>
  </si>
  <si>
    <t>Utang Bank / Lembaga Keuangan Bukan Bank</t>
  </si>
  <si>
    <t>Kartu Kredit</t>
  </si>
  <si>
    <t>Utang Afiliasi</t>
  </si>
  <si>
    <t>Utang Lainnya</t>
  </si>
  <si>
    <t>109</t>
  </si>
  <si>
    <t>070010070007159</t>
  </si>
  <si>
    <t>TAXPAYER 153</t>
  </si>
  <si>
    <t>KARYAWAN</t>
  </si>
  <si>
    <t>7654321</t>
  </si>
  <si>
    <t>1</t>
  </si>
  <si>
    <t>9</t>
  </si>
  <si>
    <t>asd</t>
  </si>
  <si>
    <t>SINGLE</t>
  </si>
  <si>
    <t>123123123123123</t>
  </si>
  <si>
    <t>1231231231231</t>
  </si>
  <si>
    <t>avgJan19</t>
  </si>
  <si>
    <t>受領債権Receivables</t>
  </si>
  <si>
    <t>ddd</t>
  </si>
  <si>
    <t>2020</t>
  </si>
  <si>
    <t>12,332,000</t>
  </si>
  <si>
    <t>12,323,000</t>
  </si>
  <si>
    <t>123,323,000</t>
  </si>
  <si>
    <t>47,771,889</t>
  </si>
  <si>
    <t>118,242,922</t>
  </si>
  <si>
    <t>40,735,926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</si>
</sst>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6">
    <numFmt numFmtId="164" formatCode="_(* #,##0_);_(* \(#,##0\);_(* &quot;-&quot;_);_(@_)"/>
    <numFmt numFmtId="165" formatCode="_(* #,##0.00_);_(* \(#,##0.00\);_(* &quot;-&quot;??_);_(@_)"/>
    <numFmt numFmtId="166" formatCode="_-* #,##0_-;\-* #,##0_-;_-* &quot;-&quot;_-;_-@_-"/>
    <numFmt numFmtId="167" formatCode="_-* #,##0.00_-;\-* #,##0.00_-;_-* &quot;-&quot;??_-;_-@_-"/>
    <numFmt numFmtId="168" formatCode="_-&quot;£&quot;* #,##0_-;\-&quot;£&quot;* #,##0_-;_-&quot;£&quot;* &quot;-&quot;_-;_-@_-"/>
    <numFmt numFmtId="169" formatCode="_(* #,##0_);_(* \(#,##0\);_(* &quot;-&quot;??_);_(@_)"/>
    <numFmt numFmtId="170" formatCode="#,###;[Red]\(#,###\);&quot;-&quot;"/>
    <numFmt numFmtId="171" formatCode="#,###"/>
    <numFmt numFmtId="172" formatCode="dd\-mm\-yyyy"/>
    <numFmt numFmtId="173" formatCode="[$-409]d\-mmm\-yy;@"/>
    <numFmt numFmtId="174" formatCode="#,##0;[Red]\ \(#,##0\);\ &quot;-&quot;"/>
    <numFmt numFmtId="175" formatCode="_-* #,##0_-;\-* #,##0_-;_-* &quot;-&quot;??_-;_-@_-"/>
    <numFmt numFmtId="176" formatCode="* #,##0_);_(* \(#,##0\);_(* &quot;-&quot;??_);_(@_)"/>
    <numFmt numFmtId="177" formatCode="#,##0_);_(* \(#,##0\);_(* &quot;-&quot;??_);_(@_)"/>
    <numFmt numFmtId="178" formatCode="[$-409]mmm\-yy;@"/>
    <numFmt numFmtId="179" formatCode="_([$Rp-421]* #,##0_);_([$Rp-421]* \(#,##0\);_([$Rp-421]* &quot;-&quot;_);_(@_)"/>
    <numFmt numFmtId="180" formatCode="0.0000%"/>
    <numFmt numFmtId="181" formatCode="\ "/>
    <numFmt numFmtId="182" formatCode="_-[$Rp-421]* #,##0_ ;_-[$Rp-421]* \-#,##0\ ;_-[$Rp-421]* &quot;-&quot;_ ;_-@_ "/>
    <numFmt numFmtId="183" formatCode="[$-C09]dd\-mmm\-yy;@"/>
    <numFmt numFmtId="184" formatCode="_-[$JPY]\ * #,##0.00_-;\-[$JPY]\ * #,##0.00_-;_-[$JPY]\ * &quot;-&quot;??_-;_-@_-"/>
    <numFmt numFmtId="185" formatCode="m/d/yy;@"/>
    <numFmt numFmtId="186" formatCode="[$-809]dd\ mmmm\ yyyy;@"/>
    <numFmt numFmtId="187" formatCode="[$-409]mmm;@"/>
    <numFmt numFmtId="188" formatCode="0_);\(0\)"/>
    <numFmt numFmtId="189" formatCode="[$-409]d\-mmm\-yyyy;@"/>
  </numFmts>
  <fonts count="131">
    <font>
      <sz val="10"/>
      <name val="Arial"/>
      <charset val="0"/>
      <color theme="1"/>
    </font>
    <font>
      <sz val="11"/>
      <name val="Calibri"/>
      <charset val="0"/>
      <color theme="1"/>
      <scheme val="minor"/>
    </font>
    <font>
      <sz val="10"/>
      <name val="Arial"/>
      <charset val="0"/>
      <color theme="1"/>
    </font>
    <font>
      <sz val="12"/>
      <name val="Arial"/>
      <charset val="0"/>
      <color theme="1"/>
    </font>
    <font>
      <sz val="10"/>
      <name val="Arial"/>
      <charset val="0"/>
      <color theme="1"/>
    </font>
    <font>
      <b/>
      <sz val="10"/>
      <name val="Arial"/>
      <charset val="0"/>
      <color theme="1"/>
    </font>
    <font>
      <sz val="8"/>
      <name val="Arial"/>
      <charset val="0"/>
      <color theme="1"/>
    </font>
    <font>
      <sz val="7"/>
      <name val="Arial"/>
      <charset val="0"/>
      <color theme="1"/>
    </font>
    <font>
      <b/>
      <sz val="20"/>
      <name val="Arial"/>
      <charset val="0"/>
      <color theme="1"/>
    </font>
    <font>
      <sz val="9"/>
      <name val="Arial"/>
      <charset val="0"/>
      <color theme="1"/>
    </font>
    <font>
      <b/>
      <sz val="8"/>
      <name val="Arial"/>
      <charset val="0"/>
      <color theme="1"/>
    </font>
    <font>
      <sz val="6"/>
      <name val="Arial"/>
      <charset val="0"/>
      <color theme="1"/>
    </font>
    <font>
      <b/>
      <sz val="7"/>
      <name val="Arial"/>
      <charset val="0"/>
      <color theme="1"/>
    </font>
    <font>
      <b/>
      <sz val="11"/>
      <name val="Arial"/>
      <charset val="0"/>
      <color theme="1"/>
    </font>
    <font>
      <b/>
      <sz val="10"/>
      <name val="Arial Black"/>
      <charset val="0"/>
      <color theme="1"/>
    </font>
    <font>
      <b/>
      <sz val="9"/>
      <name val="Arial"/>
      <charset val="0"/>
      <color theme="1"/>
    </font>
    <font>
      <b/>
      <sz val="24"/>
      <name val="Arial"/>
      <charset val="0"/>
      <color theme="1"/>
    </font>
    <font>
      <b/>
      <sz val="12"/>
      <name val="Arial"/>
      <charset val="0"/>
      <color theme="1"/>
    </font>
    <font>
      <b/>
      <sz val="26"/>
      <name val="Arial"/>
      <charset val="0"/>
      <color theme="1"/>
    </font>
    <font>
      <b/>
      <sz val="13"/>
      <name val="Arial"/>
      <charset val="0"/>
      <color theme="1"/>
    </font>
    <font>
      <sz val="11"/>
      <name val="Arial"/>
      <charset val="0"/>
      <color theme="1"/>
    </font>
    <font>
      <b/>
      <sz val="18"/>
      <name val="Arial"/>
      <charset val="0"/>
      <color theme="1"/>
    </font>
    <font>
      <b/>
      <sz val="8"/>
      <name val="Roman"/>
      <charset val="255"/>
      <color theme="1"/>
    </font>
    <font>
      <b/>
      <sz val="6"/>
      <name val="Arial"/>
      <charset val="0"/>
      <color theme="1"/>
    </font>
    <font>
      <sz val="8"/>
      <name val="Roman"/>
      <charset val="255"/>
      <color theme="1"/>
    </font>
    <font>
      <b/>
      <sz val="28"/>
      <name val="Arial"/>
      <charset val="0"/>
      <color theme="1"/>
    </font>
    <font>
      <sz val="9"/>
      <name val="Arial"/>
      <charset val="0"/>
      <color indexed="10"/>
    </font>
    <font>
      <sz val="7"/>
      <name val="Arial"/>
      <charset val="0"/>
      <color indexed="10"/>
    </font>
    <font>
      <sz val="5.5"/>
      <name val="Arial"/>
      <charset val="0"/>
      <color theme="1"/>
    </font>
    <font>
      <b/>
      <sz val="26"/>
      <name val="Arial"/>
      <charset val="0"/>
      <color indexed="9"/>
    </font>
    <font>
      <b/>
      <sz val="14"/>
      <name val="Arial"/>
      <charset val="0"/>
      <color indexed="48"/>
    </font>
    <font>
      <sz val="10"/>
      <name val="Arial"/>
      <charset val="0"/>
      <color indexed="42"/>
    </font>
    <font>
      <b/>
      <sz val="10"/>
      <name val="Arial"/>
      <charset val="0"/>
      <color indexed="58"/>
    </font>
    <font>
      <sz val="10"/>
      <name val="Arial"/>
      <charset val="0"/>
      <color indexed="48"/>
    </font>
    <font>
      <sz val="13"/>
      <name val="Arial"/>
      <charset val="0"/>
      <color theme="1"/>
    </font>
    <font>
      <sz val="12"/>
      <name val="Roman"/>
      <charset val="255"/>
      <color theme="1"/>
    </font>
    <font>
      <b/>
      <sz val="12"/>
      <name val="Arial"/>
      <charset val="0"/>
      <color indexed="8"/>
    </font>
    <font>
      <b/>
      <sz val="12"/>
      <name val="Arial"/>
      <charset val="0"/>
      <color indexed="10"/>
    </font>
    <font>
      <b/>
      <sz val="16"/>
      <name val="Arial Black"/>
      <charset val="0"/>
      <color theme="1"/>
    </font>
    <font>
      <b/>
      <sz val="16"/>
      <name val="Arial"/>
      <charset val="0"/>
      <color theme="1"/>
    </font>
    <font>
      <b/>
      <i/>
      <sz val="10"/>
      <name val="Arial"/>
      <charset val="0"/>
      <color theme="1"/>
    </font>
    <font>
      <b/>
      <sz val="14"/>
      <name val="Arial"/>
      <charset val="0"/>
      <color theme="1"/>
    </font>
    <font>
      <b/>
      <i/>
      <sz val="10"/>
      <name val="Arial"/>
      <charset val="0"/>
      <color indexed="12"/>
    </font>
    <font>
      <sz val="4"/>
      <name val="Arial"/>
      <charset val="0"/>
      <color theme="1"/>
    </font>
    <font>
      <b/>
      <sz val="10"/>
      <name val="Arial"/>
      <charset val="0"/>
      <color indexed="10"/>
    </font>
    <font>
      <b/>
      <sz val="20"/>
      <name val="Arial"/>
      <charset val="0"/>
      <color indexed="9"/>
    </font>
    <font>
      <sz val="20"/>
      <name val="Arial"/>
      <charset val="0"/>
      <color theme="1"/>
    </font>
    <font>
      <i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2"/>
      <name val="ＭＳ Ｐゴシック"/>
      <charset val="128"/>
      <color theme="1"/>
    </font>
    <font>
      <b/>
      <sz val="10"/>
      <name val="ＭＳ Ｐゴシック"/>
      <charset val="128"/>
      <color theme="1"/>
    </font>
    <font>
      <sz val="9"/>
      <name val="ＭＳ Ｐゴシック"/>
      <charset val="128"/>
      <color theme="1"/>
    </font>
    <font>
      <sz val="8"/>
      <name val="ＭＳ Ｐゴシック"/>
      <charset val="128"/>
      <color theme="1"/>
    </font>
    <font>
      <b/>
      <sz val="8"/>
      <name val="ＭＳ Ｐゴシック"/>
      <charset val="128"/>
      <color theme="1"/>
    </font>
    <font>
      <b/>
      <sz val="7"/>
      <name val="ＭＳ Ｐゴシック"/>
      <charset val="128"/>
      <color theme="1"/>
    </font>
    <font>
      <sz val="10"/>
      <name val="ＭＳ Ｐゴシック"/>
      <charset val="128"/>
      <color theme="1"/>
    </font>
    <font>
      <b/>
      <sz val="11"/>
      <name val="ＭＳ Ｐゴシック"/>
      <charset val="128"/>
      <color theme="1"/>
    </font>
    <font>
      <sz val="12"/>
      <name val="ＭＳ Ｐゴシック"/>
      <charset val="128"/>
      <color theme="1"/>
    </font>
    <font>
      <sz val="11"/>
      <name val="ＭＳ Ｐゴシック"/>
      <charset val="128"/>
      <color theme="1"/>
    </font>
    <font>
      <b/>
      <sz val="18"/>
      <name val="ＭＳ Ｐゴシック"/>
      <charset val="128"/>
      <color theme="1"/>
    </font>
    <font>
      <b/>
      <sz val="16"/>
      <name val="ＭＳ Ｐゴシック"/>
      <charset val="128"/>
      <color theme="1"/>
    </font>
    <font>
      <sz val="10"/>
      <name val="Arial"/>
      <charset val="0"/>
      <color indexed="58"/>
    </font>
    <font>
      <sz val="10"/>
      <name val="Cambria"/>
      <charset val="0"/>
      <color theme="1"/>
      <scheme val="major"/>
    </font>
    <font>
      <b/>
      <sz val="14"/>
      <name val="Cambria"/>
      <charset val="0"/>
      <color theme="1"/>
      <scheme val="major"/>
    </font>
    <font>
      <b/>
      <sz val="18"/>
      <name val="Cambria"/>
      <charset val="0"/>
      <color theme="1"/>
      <scheme val="major"/>
    </font>
    <font>
      <b/>
      <sz val="10"/>
      <name val="Cambria"/>
      <charset val="0"/>
      <color theme="1"/>
      <scheme val="major"/>
    </font>
    <font>
      <b/>
      <sz val="12"/>
      <name val="Cambria"/>
      <charset val="0"/>
      <color theme="1"/>
      <scheme val="major"/>
    </font>
    <font>
      <sz val="14"/>
      <name val="Cambria"/>
      <charset val="0"/>
      <color theme="1"/>
      <scheme val="major"/>
    </font>
    <font>
      <b/>
      <sz val="16"/>
      <name val="Cambria"/>
      <charset val="0"/>
      <color theme="1"/>
      <scheme val="major"/>
    </font>
    <font>
      <b/>
      <sz val="11"/>
      <name val="Cambria"/>
      <charset val="0"/>
      <color theme="1"/>
      <scheme val="major"/>
    </font>
    <font>
      <b/>
      <i/>
      <sz val="10"/>
      <name val="Cambria"/>
      <charset val="0"/>
      <color theme="1"/>
      <scheme val="major"/>
    </font>
    <font>
      <b/>
      <sz val="10"/>
      <name val="Cambria"/>
      <charset val="0"/>
      <color indexed="48"/>
      <scheme val="major"/>
    </font>
    <font>
      <sz val="10"/>
      <name val="Cambria"/>
      <charset val="0"/>
      <color indexed="12"/>
      <scheme val="major"/>
    </font>
    <font>
      <b/>
      <sz val="14"/>
      <name val="Arial"/>
      <charset val="0"/>
      <color theme="0"/>
    </font>
    <font>
      <b/>
      <sz val="26"/>
      <name val="Arial"/>
      <charset val="0"/>
      <color theme="0"/>
    </font>
    <font>
      <sz val="10"/>
      <name val="Arial"/>
      <charset val="0"/>
      <color theme="0"/>
    </font>
    <font>
      <b/>
      <sz val="10"/>
      <name val="Arial"/>
      <charset val="0"/>
      <color theme="0"/>
    </font>
    <font>
      <sz val="13"/>
      <name val="Arial"/>
      <charset val="0"/>
      <color theme="0"/>
    </font>
    <font>
      <b/>
      <sz val="11"/>
      <name val="Arial"/>
      <charset val="0"/>
      <color theme="0"/>
    </font>
    <font>
      <sz val="14"/>
      <name val="Arial"/>
      <charset val="0"/>
      <color theme="0"/>
    </font>
    <font>
      <sz val="11"/>
      <name val="Calibri"/>
      <charset val="0"/>
      <color rgb="FF000000"/>
    </font>
    <font>
      <sz val="11"/>
      <name val="Calibri"/>
      <color indexed="8"/>
    </font>
    <font>
      <sz val="9"/>
      <name val="Cambria"/>
      <charset val="0"/>
      <color theme="1"/>
      <scheme val="major"/>
    </font>
    <font>
      <b/>
      <sz val="10"/>
      <name val="Cambria"/>
      <charset val="0"/>
      <color theme="0"/>
      <scheme val="major"/>
    </font>
    <font>
      <b/>
      <sz val="9"/>
      <name val="Cambria"/>
      <charset val="0"/>
      <color theme="0"/>
      <scheme val="major"/>
    </font>
    <font>
      <b/>
      <sz val="12"/>
      <name val="Arial"/>
      <charset val="0"/>
      <color theme="0"/>
    </font>
    <font>
      <b/>
      <sz val="11"/>
      <name val="Calibri"/>
      <charset val="0"/>
      <color theme="1"/>
      <scheme val="minor"/>
    </font>
    <font>
      <b/>
      <sz val="10"/>
      <name val="Arial"/>
      <charset val="0"/>
      <color rgb="FFFF0000"/>
    </font>
    <font>
      <b/>
      <sz val="14"/>
      <name val="Calibri"/>
      <charset val="0"/>
      <color theme="1"/>
      <scheme val="minor"/>
    </font>
    <font>
      <sz val="11"/>
      <name val="Arial"/>
      <charset val="0"/>
      <color theme="0"/>
    </font>
    <font>
      <sz val="11"/>
      <name val="Arial"/>
      <charset val="0"/>
      <color indexed="8"/>
    </font>
    <font>
      <b/>
      <sz val="11"/>
      <name val="Arial"/>
      <charset val="0"/>
      <color theme="0" tint="-0.34998626667073579"/>
    </font>
    <font>
      <b/>
      <sz val="10"/>
      <name val="Arial"/>
      <charset val="0"/>
      <color indexed="8"/>
    </font>
    <font>
      <b/>
      <sz val="13"/>
      <name val="Arial"/>
      <charset val="0"/>
      <color indexed="8"/>
    </font>
    <font>
      <b/>
      <sz val="11"/>
      <name val="Arial"/>
      <charset val="0"/>
      <color indexed="8"/>
    </font>
    <font>
      <sz val="8"/>
      <name val="Arial"/>
      <charset val="0"/>
      <color indexed="8"/>
    </font>
    <font>
      <b/>
      <sz val="8"/>
      <name val="Arial"/>
      <charset val="0"/>
      <color indexed="8"/>
    </font>
    <font>
      <b/>
      <sz val="9"/>
      <name val="Arial"/>
      <charset val="0"/>
      <color indexed="8"/>
    </font>
    <font>
      <sz val="11"/>
      <name val="Arial"/>
      <charset val="0"/>
      <color theme="0" tint="-0.34998626667073579"/>
    </font>
    <font>
      <b/>
      <sz val="7"/>
      <name val="Arial"/>
      <charset val="0"/>
      <color theme="0" tint="-0.34998626667073579"/>
    </font>
    <font>
      <b/>
      <sz val="14"/>
      <name val="Arial"/>
      <charset val="0"/>
      <color indexed="8"/>
    </font>
    <font>
      <b/>
      <sz val="7"/>
      <name val="Arial"/>
      <charset val="0"/>
      <color theme="0" tint="-0.499984740745262"/>
    </font>
    <font>
      <b/>
      <sz val="20"/>
      <name val="Arial"/>
      <charset val="0"/>
      <color indexed="8"/>
    </font>
    <font>
      <sz val="10"/>
      <name val="Arial"/>
      <charset val="0"/>
      <color indexed="8"/>
    </font>
    <font>
      <sz val="7"/>
      <name val="Arial"/>
      <charset val="0"/>
      <color theme="0" tint="-0.34998626667073579"/>
    </font>
    <font>
      <sz val="8"/>
      <name val="Arial"/>
      <charset val="0"/>
      <color theme="0" tint="-0.34998626667073579"/>
    </font>
    <font>
      <sz val="9"/>
      <name val="Arial"/>
      <charset val="0"/>
      <color theme="0" tint="-0.499984740745262"/>
    </font>
    <font>
      <sz val="7"/>
      <name val="Arial"/>
      <charset val="0"/>
      <color theme="0" tint="-0.499984740745262"/>
    </font>
    <font>
      <sz val="14"/>
      <name val="Arial"/>
      <charset val="0"/>
      <color indexed="8"/>
    </font>
    <font>
      <sz val="6"/>
      <name val="Arial"/>
      <charset val="0"/>
      <color theme="0" tint="-0.34998626667073579"/>
    </font>
    <font>
      <sz val="6"/>
      <name val="Arial"/>
      <charset val="0"/>
      <color indexed="8"/>
    </font>
    <font>
      <sz val="6"/>
      <name val="Arial"/>
      <charset val="0"/>
      <color theme="0" tint="-0.499984740745262"/>
    </font>
    <font>
      <b/>
      <sz val="6"/>
      <name val="Arial"/>
      <charset val="0"/>
      <color indexed="8"/>
    </font>
    <font>
      <sz val="8"/>
      <name val="Calibri"/>
      <color theme="1"/>
      <scheme val="minor"/>
    </font>
    <font>
      <sz val="12"/>
      <name val="Arial"/>
      <charset val="0"/>
      <color indexed="8"/>
    </font>
    <font>
      <sz val="9"/>
      <name val="Arial"/>
      <charset val="0"/>
      <color indexed="8"/>
    </font>
    <font>
      <sz val="7"/>
      <name val="Arial"/>
      <charset val="0"/>
      <color theme="1" tint="0.499984740745262"/>
    </font>
    <font>
      <sz val="6.9"/>
      <name val="Arial"/>
      <charset val="0"/>
      <color theme="1"/>
    </font>
    <font>
      <sz val="14"/>
      <name val="Arial"/>
      <charset val="0"/>
      <color theme="1"/>
    </font>
    <font>
      <b/>
      <sz val="10.35"/>
      <name val="Arial"/>
      <charset val="0"/>
      <color theme="1"/>
    </font>
    <font>
      <b/>
      <sz val="9.2"/>
      <name val="Arial"/>
      <charset val="0"/>
      <color theme="1"/>
    </font>
    <font>
      <sz val="9.2"/>
      <name val="Arial"/>
      <charset val="0"/>
      <color theme="1"/>
    </font>
    <font>
      <sz val="8.5"/>
      <name val="Arial"/>
      <charset val="0"/>
      <color theme="1"/>
    </font>
    <font>
      <u val="single"/>
      <sz val="10"/>
      <name val="Arial"/>
      <charset val="0"/>
      <color theme="1"/>
    </font>
    <font>
      <b/>
      <i/>
      <sz val="12"/>
      <name val="Arial"/>
      <charset val="0"/>
      <color theme="1"/>
    </font>
    <font>
      <i/>
      <u val="single"/>
      <sz val="10"/>
      <name val="Arial"/>
      <charset val="0"/>
      <color theme="1"/>
    </font>
    <font>
      <b/>
      <sz val="14"/>
      <name val="Arial"/>
      <charset val="0"/>
      <color indexed="9"/>
    </font>
    <font>
      <i/>
      <sz val="10"/>
      <name val="Arial"/>
      <charset val="0"/>
      <color rgb="FFFF0000"/>
    </font>
    <font>
      <sz val="9"/>
      <name val="Arial"/>
      <charset val="0"/>
      <color theme="0"/>
    </font>
    <font>
      <b/>
      <sz val="18"/>
      <name val="Arial"/>
      <charset val="0"/>
      <color rgb="FFFFFFFF"/>
    </font>
    <font>
      <sz val="16"/>
      <name val="Arial"/>
      <charset val="0"/>
      <color rgb="FFFFFFFF"/>
    </font>
  </fonts>
  <fills count="31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2776"/>
        <bgColor indexed="64"/>
      </patternFill>
    </fill>
    <fill>
      <patternFill patternType="solid">
        <fgColor rgb="FF92D4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8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CFABC"/>
        <bgColor indexed="64"/>
      </patternFill>
    </fill>
  </fills>
  <borders count="15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hair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/>
      <top style="dashDotDot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</borders>
  <cellStyleXfs count="29">
    <xf xxid="0" numFmtId="0" fontId="0" fillId="0" borderId="0"/>
    <xf xxid="1" numFmtId="167" fontId="2" fillId="0" borderId="0" applyAlignment="0" applyFont="0" applyProtection="0"/>
    <xf xxid="2" numFmtId="166" fontId="2" fillId="0" borderId="0" applyAlignment="0" applyFont="0" applyProtection="0"/>
    <xf xxid="3" numFmtId="0" fontId="2" fillId="0" borderId="0"/>
    <xf xxid="4" numFmtId="0" fontId="2" fillId="0" borderId="0"/>
    <xf xxid="5" numFmtId="0" fontId="2" fillId="0" borderId="0"/>
    <xf xxid="6" numFmtId="167" fontId="2" fillId="0" borderId="0" applyAlignment="0" applyFont="0" applyProtection="0"/>
    <xf xxid="7" numFmtId="0" fontId="2" fillId="0" borderId="0"/>
    <xf xxid="8" numFmtId="0" fontId="2" fillId="0" borderId="0"/>
    <xf xxid="9" numFmtId="166" fontId="2" fillId="0" borderId="0" applyAlignment="0" applyFont="0" applyProtection="0"/>
    <xf xxid="10" numFmtId="0" fontId="48" fillId="0" borderId="0" applyAlignment="0" applyNumberFormat="0" applyProtection="0">
      <alignment vertical="top"/>
    </xf>
    <xf xxid="11" numFmtId="0" fontId="1" fillId="0" borderId="0"/>
    <xf xxid="12" numFmtId="0" fontId="1" fillId="0" borderId="0"/>
    <xf xxid="13" numFmtId="0" fontId="1" fillId="0" borderId="0"/>
    <xf xxid="14" numFmtId="0" fontId="1" fillId="0" borderId="0"/>
    <xf xxid="15" numFmtId="0" fontId="2" fillId="0" borderId="0"/>
    <xf xxid="16" numFmtId="0" fontId="2" fillId="0" borderId="0"/>
    <xf xxid="17" numFmtId="0" fontId="1" fillId="0" borderId="0"/>
    <xf xxid="18" numFmtId="167" fontId="2" fillId="0" borderId="0" applyAlignment="0" applyFont="0" applyProtection="0"/>
    <xf xxid="19" numFmtId="167" fontId="2" fillId="0" borderId="0" applyAlignment="0" applyFont="0" applyProtection="0"/>
    <xf xxid="20" numFmtId="166" fontId="81" fillId="0" borderId="0" applyAlignment="0" applyFont="0" applyProtection="0"/>
    <xf xxid="21" numFmtId="9" fontId="2" fillId="0" borderId="0" applyAlignment="0" applyFont="0" applyProtection="0"/>
    <xf xxid="22" numFmtId="165" fontId="1" fillId="0" borderId="0" applyAlignment="0" applyFont="0" applyProtection="0"/>
    <xf xxid="23" numFmtId="0" fontId="1" fillId="0" borderId="0"/>
    <xf xxid="24" numFmtId="165" fontId="1" fillId="0" borderId="0" applyAlignment="0" applyFont="0" applyProtection="0"/>
    <xf xxid="25" numFmtId="0" fontId="1" fillId="0" borderId="0"/>
    <xf xxid="26" numFmtId="0" fontId="1" fillId="0" borderId="0"/>
    <xf xxid="27" numFmtId="0" fontId="1" fillId="0" borderId="0"/>
    <xf xxid="28" numFmtId="164" fontId="2" fillId="0" borderId="0" applyAlignment="0" applyFont="0" applyProtection="0"/>
  </cellStyleXfs>
  <cellXfs>
    <xf xxid="29" numFmtId="0" fontId="0" fillId="0" borderId="0" xfId="0" applyAlignment="1" applyBorder="1" applyFont="1" applyNumberFormat="1" applyFill="1" applyProtection="1"/>
    <xf xxid="30" numFmtId="0" fontId="0" fillId="2" borderId="0" xfId="0" applyAlignment="1" applyBorder="1" applyFont="1" applyNumberFormat="1" applyFill="1" applyProtection="1"/>
    <xf xxid="31" numFmtId="0" fontId="0" fillId="0" borderId="1" xfId="0" applyAlignment="1" applyBorder="1" applyFont="1" applyNumberFormat="1" applyFill="1" applyProtection="1"/>
    <xf xxid="32" numFmtId="0" fontId="3" fillId="0" borderId="1" xfId="0" applyAlignment="1" applyBorder="1" applyFont="1" applyNumberFormat="1" applyFill="1" applyProtection="1"/>
    <xf xxid="33" numFmtId="0" fontId="6" fillId="0" borderId="0" xfId="0" applyAlignment="1" applyBorder="1" applyFont="1" applyNumberFormat="1" applyFill="1" applyProtection="1"/>
    <xf xxid="34" numFmtId="0" fontId="11" fillId="0" borderId="0" xfId="0" applyAlignment="1" applyBorder="1" applyFont="1" applyNumberFormat="1" applyFill="1" applyProtection="1"/>
    <xf xxid="35" numFmtId="0" fontId="7" fillId="0" borderId="0" xfId="0" applyAlignment="1" applyBorder="1" applyFont="1" applyNumberFormat="1" applyFill="1" applyProtection="1"/>
    <xf xxid="36" numFmtId="0" fontId="7" fillId="0" borderId="0" xfId="0" applyAlignment="1" applyBorder="1" applyFont="1" applyNumberFormat="1" applyFill="1" applyProtection="1">
      <alignment horizontal="center" vertical="center"/>
    </xf>
    <xf xxid="37" numFmtId="0" fontId="7" fillId="0" borderId="0" xfId="0" applyAlignment="1" applyBorder="1" applyFont="1" applyNumberFormat="1" applyFill="1" applyProtection="1">
      <alignment horizontal="center"/>
    </xf>
    <xf xxid="38" numFmtId="0" fontId="8" fillId="0" borderId="0" xfId="0" applyAlignment="1" applyBorder="1" applyFont="1" applyNumberFormat="1" applyFill="1" applyProtection="1">
      <alignment vertical="distributed"/>
    </xf>
    <xf xxid="39" numFmtId="0" fontId="8" fillId="0" borderId="1" xfId="0" applyAlignment="1" applyBorder="1" applyFont="1" applyNumberFormat="1" applyFill="1" applyProtection="1">
      <alignment vertical="distributed"/>
    </xf>
    <xf xxid="40" numFmtId="0" fontId="9" fillId="0" borderId="0" xfId="0" applyAlignment="1" applyBorder="1" applyFont="1" applyNumberFormat="1" applyFill="1" applyProtection="1"/>
    <xf xxid="41" numFmtId="0" fontId="6" fillId="0" borderId="0" xfId="0" applyAlignment="1" applyBorder="1" applyFont="1" applyNumberFormat="1" applyFill="1" applyProtection="1">
      <alignment horizontal="left"/>
    </xf>
    <xf xxid="42" numFmtId="0" fontId="0" fillId="0" borderId="2" xfId="0" applyAlignment="1" applyBorder="1" applyFont="1" applyNumberFormat="1" applyFill="1" applyProtection="1"/>
    <xf xxid="43" numFmtId="0" fontId="0" fillId="0" borderId="3" xfId="0" applyAlignment="1" applyBorder="1" applyFont="1" applyNumberFormat="1" applyFill="1" applyProtection="1"/>
    <xf xxid="44" numFmtId="0" fontId="3" fillId="0" borderId="0" xfId="0" applyAlignment="1" applyBorder="1" applyFont="1" applyNumberFormat="1" applyFill="1" applyProtection="1"/>
    <xf xxid="45" numFmtId="0" fontId="2" fillId="0" borderId="0" xfId="0" applyAlignment="1" applyBorder="1" applyFont="1" applyNumberFormat="1" applyFill="1" applyProtection="1"/>
    <xf xxid="46" numFmtId="0" fontId="9" fillId="0" borderId="0" xfId="0" applyAlignment="1" applyBorder="1" applyFont="1" applyNumberFormat="1" applyFill="1" applyProtection="1">
      <alignment horizontal="center"/>
    </xf>
    <xf xxid="47" numFmtId="0" fontId="9" fillId="2" borderId="0" xfId="0" applyAlignment="1" applyBorder="1" applyFont="1" applyNumberFormat="1" applyFill="1" applyProtection="1"/>
    <xf xxid="48" numFmtId="0" fontId="9" fillId="0" borderId="0" xfId="0" applyAlignment="1" applyBorder="1" applyFont="1" applyNumberFormat="1" applyFill="1" applyProtection="1">
      <alignment vertical="top"/>
    </xf>
    <xf xxid="49" numFmtId="0" fontId="9" fillId="3" borderId="0" xfId="0" applyAlignment="1" applyBorder="1" applyFont="1" applyNumberFormat="1" applyFill="1" applyProtection="1"/>
    <xf xxid="50" numFmtId="0" fontId="2" fillId="0" borderId="1" xfId="0" applyAlignment="1" applyBorder="1" applyFont="1" applyNumberFormat="1" applyFill="1" applyProtection="1">
      <alignment horizontal="center" vertical="center" textRotation="90"/>
    </xf>
    <xf xxid="51" numFmtId="0" fontId="0" fillId="0" borderId="0" xfId="0" applyAlignment="1" applyBorder="1" applyFont="1" applyNumberFormat="1" applyFill="1" applyProtection="1">
      <alignment horizontal="center"/>
    </xf>
    <xf xxid="52" numFmtId="0" fontId="9" fillId="0" borderId="1" xfId="0" applyAlignment="1" applyBorder="1" applyFont="1" applyNumberFormat="1" applyFill="1" applyProtection="1"/>
    <xf xxid="53" numFmtId="0" fontId="6" fillId="0" borderId="0" xfId="0" applyAlignment="1" applyBorder="1" applyFont="1" applyNumberFormat="1" applyFill="1" applyProtection="1">
      <alignment vertical="top"/>
    </xf>
    <xf xxid="54" numFmtId="0" fontId="16" fillId="0" borderId="0" xfId="0" applyAlignment="1" applyBorder="1" applyFont="1" applyNumberFormat="1" applyFill="1" applyProtection="1">
      <alignment vertical="distributed"/>
    </xf>
    <xf xxid="55" numFmtId="0" fontId="14" fillId="0" borderId="4" xfId="0" applyAlignment="1" applyBorder="1" applyFont="1" applyNumberFormat="1" applyFill="1" applyProtection="1">
      <alignment horizontal="left"/>
    </xf>
    <xf xxid="56" numFmtId="0" fontId="18" fillId="0" borderId="0" xfId="0" applyAlignment="1" applyBorder="1" applyFont="1" applyNumberFormat="1" applyFill="1" applyProtection="1">
      <alignment vertical="distributed"/>
    </xf>
    <xf xxid="57" numFmtId="0" fontId="18" fillId="0" borderId="5" xfId="0" applyAlignment="1" applyBorder="1" applyFont="1" applyNumberFormat="1" applyFill="1" applyProtection="1">
      <alignment vertical="distributed"/>
    </xf>
    <xf xxid="58" numFmtId="0" fontId="18" fillId="0" borderId="1" xfId="0" applyAlignment="1" applyBorder="1" applyFont="1" applyNumberFormat="1" applyFill="1" applyProtection="1">
      <alignment vertical="distributed"/>
    </xf>
    <xf xxid="59" numFmtId="0" fontId="17" fillId="0" borderId="0" xfId="0" applyAlignment="1" applyBorder="1" applyFont="1" applyNumberFormat="1" applyFill="1" applyProtection="1">
      <alignment vertical="center" textRotation="90"/>
    </xf>
    <xf xxid="60" numFmtId="0" fontId="17" fillId="0" borderId="1" xfId="0" applyAlignment="1" applyBorder="1" applyFont="1" applyNumberFormat="1" applyFill="1" applyProtection="1">
      <alignment vertical="center" textRotation="90"/>
    </xf>
    <xf xxid="61" numFmtId="0" fontId="0" fillId="0" borderId="6" xfId="0" applyAlignment="1" applyBorder="1" applyFont="1" applyNumberFormat="1" applyFill="1" applyProtection="1"/>
    <xf xxid="62" numFmtId="0" fontId="6" fillId="0" borderId="0" xfId="0" applyAlignment="1" applyBorder="1" applyFont="1" applyNumberFormat="1" applyFill="1" applyProtection="1">
      <alignment horizontal="left" vertical="top"/>
    </xf>
    <xf xxid="63" numFmtId="0" fontId="6" fillId="0" borderId="0" xfId="0" applyAlignment="1" applyBorder="1" applyFont="1" applyNumberFormat="1" applyFill="1" applyProtection="1">
      <alignment horizontal="center" vertical="center"/>
    </xf>
    <xf xxid="64" numFmtId="0" fontId="7" fillId="0" borderId="0" xfId="0" applyAlignment="1" applyBorder="1" applyFont="1" applyNumberFormat="1" applyFill="1" applyProtection="1">
      <alignment vertical="top"/>
    </xf>
    <xf xxid="65" numFmtId="0" fontId="7" fillId="0" borderId="0" xfId="0" applyAlignment="1" applyBorder="1" applyFont="1" applyNumberFormat="1" applyFill="1" applyProtection="1">
      <alignment horizontal="left" vertical="top"/>
    </xf>
    <xf xxid="66" numFmtId="0" fontId="11" fillId="0" borderId="7" xfId="0" applyAlignment="1" applyBorder="1" applyFont="1" applyNumberFormat="1" applyFill="1" applyProtection="1"/>
    <xf xxid="67" numFmtId="0" fontId="17" fillId="0" borderId="0" xfId="0" applyAlignment="1" applyBorder="1" applyFont="1" applyNumberFormat="1" applyFill="1" applyProtection="1">
      <alignment vertical="center"/>
    </xf>
    <xf xxid="68" numFmtId="0" fontId="20" fillId="0" borderId="0" xfId="0" applyAlignment="1" applyBorder="1" applyFont="1" applyNumberFormat="1" applyFill="1" applyProtection="1"/>
    <xf xxid="69" numFmtId="0" fontId="16" fillId="0" borderId="0" xfId="0" applyAlignment="1" applyBorder="1" applyFont="1" applyNumberFormat="1" applyFill="1" applyProtection="1">
      <alignment horizontal="center" vertical="distributed"/>
    </xf>
    <xf xxid="70" numFmtId="0" fontId="6" fillId="0" borderId="0" xfId="0" applyAlignment="1" applyBorder="1" applyFont="1" applyNumberFormat="1" applyFill="1" applyProtection="1">
      <alignment horizontal="center"/>
    </xf>
    <xf xxid="71" numFmtId="0" fontId="11" fillId="0" borderId="0" xfId="0" applyAlignment="1" applyBorder="1" applyFont="1" applyNumberFormat="1" applyFill="1" applyProtection="1">
      <alignment vertical="top"/>
    </xf>
    <xf xxid="72" numFmtId="0" fontId="6" fillId="0" borderId="8" xfId="0" applyAlignment="1" applyBorder="1" applyFont="1" applyNumberFormat="1" applyFill="1" applyProtection="1"/>
    <xf xxid="73" numFmtId="0" fontId="6" fillId="0" borderId="0" xfId="0" applyAlignment="1" applyBorder="1" applyFont="1" applyNumberFormat="1" applyFill="1" applyProtection="1">
      <alignment vertical="center"/>
    </xf>
    <xf xxid="74" numFmtId="0" fontId="6" fillId="0" borderId="9" xfId="0" applyAlignment="1" applyBorder="1" applyFont="1" applyNumberFormat="1" applyFill="1" applyProtection="1"/>
    <xf xxid="75" numFmtId="0" fontId="7" fillId="0" borderId="0" xfId="0" applyAlignment="1" applyBorder="1" applyFont="1" applyNumberFormat="1" applyFill="1" applyProtection="1">
      <alignment horizontal="center" vertical="top"/>
    </xf>
    <xf xxid="76" numFmtId="0" fontId="9" fillId="0" borderId="5" xfId="0" applyAlignment="1" applyBorder="1" applyFont="1" applyNumberFormat="1" applyFill="1" applyProtection="1"/>
    <xf xxid="77" numFmtId="0" fontId="17" fillId="0" borderId="1" xfId="0" applyAlignment="1" applyBorder="1" applyFont="1" applyNumberFormat="1" applyFill="1" applyProtection="1">
      <alignment horizontal="center" vertical="center" textRotation="90"/>
    </xf>
    <xf xxid="78" numFmtId="0" fontId="15" fillId="0" borderId="0" xfId="0" applyAlignment="1" applyBorder="1" applyFont="1" applyNumberFormat="1" applyFill="1" applyProtection="1">
      <alignment horizontal="center"/>
    </xf>
    <xf xxid="79" numFmtId="0" fontId="15" fillId="0" borderId="0" xfId="0" applyAlignment="1" applyBorder="1" applyFont="1" applyNumberFormat="1" applyFill="1" applyProtection="1"/>
    <xf xxid="80" numFmtId="0" fontId="16" fillId="0" borderId="1" xfId="0" applyAlignment="1" applyBorder="1" applyFont="1" applyNumberFormat="1" applyFill="1" applyProtection="1">
      <alignment vertical="distributed"/>
    </xf>
    <xf xxid="81" numFmtId="0" fontId="0" fillId="0" borderId="5" xfId="0" applyAlignment="1" applyBorder="1" applyFont="1" applyNumberFormat="1" applyFill="1" applyProtection="1"/>
    <xf xxid="82" numFmtId="0" fontId="10" fillId="0" borderId="0" xfId="0" applyAlignment="1" applyBorder="1" applyFont="1" applyNumberFormat="1" applyFill="1" applyProtection="1">
      <alignment vertical="center"/>
    </xf>
    <xf xxid="83" numFmtId="0" fontId="5" fillId="0" borderId="0" xfId="0" applyAlignment="1" applyBorder="1" applyFont="1" applyNumberFormat="1" applyFill="1" applyProtection="1"/>
    <xf xxid="84" numFmtId="0" fontId="2" fillId="2" borderId="0" xfId="0" applyAlignment="1" applyBorder="1" applyFont="1" applyNumberFormat="1" applyFill="1" applyProtection="1"/>
    <xf xxid="85" numFmtId="0" fontId="11" fillId="0" borderId="0" xfId="0" applyAlignment="1" applyBorder="1" applyFont="1" applyNumberFormat="1" applyFill="1" applyProtection="1">
      <alignment horizontal="center"/>
    </xf>
    <xf xxid="86" numFmtId="0" fontId="6" fillId="0" borderId="10" xfId="0" applyAlignment="1" applyBorder="1" applyFont="1" applyNumberFormat="1" applyFill="1" applyProtection="1"/>
    <xf xxid="87" numFmtId="0" fontId="9" fillId="0" borderId="0" xfId="0" applyAlignment="1" applyBorder="1" applyFont="1" applyNumberFormat="1" applyFill="1" applyProtection="1">
      <alignment horizontal="center" vertical="center"/>
    </xf>
    <xf xxid="88" numFmtId="0" fontId="0" fillId="0" borderId="1" xfId="0" applyAlignment="1" applyBorder="1" applyFont="1" applyNumberFormat="1" applyFill="1" applyProtection="1">
      <alignment horizontal="center"/>
    </xf>
    <xf xxid="89" numFmtId="0" fontId="16" fillId="0" borderId="3" xfId="0" applyAlignment="1" applyBorder="1" applyFont="1" applyNumberFormat="1" applyFill="1" applyProtection="1">
      <alignment vertical="distributed"/>
    </xf>
    <xf xxid="90" numFmtId="0" fontId="12" fillId="0" borderId="0" xfId="0" applyAlignment="1" applyBorder="1" applyFont="1" applyNumberFormat="1" applyFill="1" applyProtection="1"/>
    <xf xxid="91" numFmtId="0" fontId="9" fillId="0" borderId="0" xfId="0" applyAlignment="1" applyBorder="1" applyFont="1" applyNumberFormat="1" applyFill="1" applyProtection="1">
      <alignment vertical="center"/>
    </xf>
    <xf xxid="92" numFmtId="0" fontId="6" fillId="0" borderId="11" xfId="0" applyAlignment="1" applyBorder="1" applyFont="1" applyNumberFormat="1" applyFill="1" applyProtection="1">
      <alignment horizontal="center" vertical="center"/>
    </xf>
    <xf xxid="93" numFmtId="0" fontId="6" fillId="0" borderId="12" xfId="0" applyAlignment="1" applyBorder="1" applyFont="1" applyNumberFormat="1" applyFill="1" applyProtection="1"/>
    <xf xxid="94" numFmtId="0" fontId="0" fillId="0" borderId="13" xfId="0" applyAlignment="1" applyBorder="1" applyFont="1" applyNumberFormat="1" applyFill="1" applyProtection="1"/>
    <xf xxid="95" numFmtId="0" fontId="3" fillId="0" borderId="0" xfId="0" applyAlignment="1" applyBorder="1" applyFont="1" applyNumberFormat="1" applyFill="1" applyProtection="1">
      <alignment vertical="center"/>
    </xf>
    <xf xxid="96" numFmtId="0" fontId="3" fillId="0" borderId="0" xfId="0" applyAlignment="1" applyBorder="1" applyFont="1" applyNumberFormat="1" applyFill="1" applyProtection="1">
      <alignment horizontal="center" vertical="center"/>
    </xf>
    <xf xxid="97" numFmtId="0" fontId="2" fillId="0" borderId="0" xfId="0" applyAlignment="1" applyBorder="1" applyFont="1" applyNumberFormat="1" applyFill="1" applyProtection="1">
      <alignment vertical="center"/>
    </xf>
    <xf xxid="98" numFmtId="0" fontId="13" fillId="0" borderId="0" xfId="0" applyAlignment="1" applyBorder="1" applyFont="1" applyNumberFormat="1" applyFill="1" applyProtection="1">
      <alignment horizontal="center"/>
    </xf>
    <xf xxid="99" numFmtId="0" fontId="10" fillId="0" borderId="0" xfId="0" applyAlignment="1" applyBorder="1" applyFont="1" applyNumberFormat="1" applyFill="1" applyProtection="1">
      <alignment vertical="center" textRotation="90"/>
    </xf>
    <xf xxid="100" numFmtId="0" fontId="17" fillId="0" borderId="0" xfId="0" applyAlignment="1" applyBorder="1" applyFont="1" applyNumberFormat="1" applyFill="1" applyProtection="1"/>
    <xf xxid="101" numFmtId="0" fontId="17" fillId="0" borderId="0" xfId="0" applyAlignment="1" applyBorder="1" applyFont="1" applyNumberFormat="1" applyFill="1" applyProtection="1">
      <alignment horizontal="center"/>
    </xf>
    <xf xxid="102" numFmtId="0" fontId="5" fillId="0" borderId="0" xfId="0" applyAlignment="1" applyBorder="1" applyFont="1" applyNumberFormat="1" applyFill="1" applyProtection="1">
      <alignment vertical="center"/>
    </xf>
    <xf xxid="103" numFmtId="0" fontId="17" fillId="0" borderId="0" xfId="0" applyAlignment="1" applyBorder="1" applyFont="1" applyNumberFormat="1" applyFill="1" applyProtection="1">
      <alignment vertical="top"/>
    </xf>
    <xf xxid="104" numFmtId="0" fontId="13" fillId="0" borderId="0" xfId="0" applyAlignment="1" applyBorder="1" applyFont="1" applyNumberFormat="1" applyFill="1" applyProtection="1"/>
    <xf xxid="105" numFmtId="0" fontId="10" fillId="0" borderId="0" xfId="0" applyAlignment="1" applyBorder="1" applyFont="1" applyNumberFormat="1" applyFill="1" applyProtection="1"/>
    <xf xxid="106" numFmtId="0" fontId="16" fillId="0" borderId="5" xfId="0" applyAlignment="1" applyBorder="1" applyFont="1" applyNumberFormat="1" applyFill="1" applyProtection="1">
      <alignment vertical="distributed"/>
    </xf>
    <xf xxid="107" numFmtId="0" fontId="17" fillId="0" borderId="0" xfId="0" applyAlignment="1" applyBorder="1" applyFont="1" applyNumberFormat="1" applyFill="1" applyProtection="1">
      <alignment horizontal="left"/>
    </xf>
    <xf xxid="108" numFmtId="0" fontId="3" fillId="0" borderId="0" xfId="0" applyAlignment="1" applyBorder="1" applyFont="1" applyNumberFormat="1" applyFill="1" applyProtection="1">
      <alignment horizontal="center"/>
    </xf>
    <xf xxid="109" numFmtId="0" fontId="0" fillId="0" borderId="14" xfId="0" applyAlignment="1" applyBorder="1" applyFont="1" applyNumberFormat="1" applyFill="1" applyProtection="1"/>
    <xf xxid="110" numFmtId="0" fontId="0" fillId="0" borderId="6" xfId="0" applyAlignment="1" applyBorder="1" applyFont="1" applyNumberFormat="1" applyFill="1" applyProtection="1">
      <alignment horizontal="center"/>
    </xf>
    <xf xxid="111" numFmtId="0" fontId="6" fillId="0" borderId="15" xfId="0" applyAlignment="1" applyBorder="1" applyFont="1" applyNumberFormat="1" applyFill="1" applyProtection="1">
      <alignment horizontal="center" vertical="center"/>
    </xf>
    <xf xxid="112" numFmtId="0" fontId="18" fillId="0" borderId="5" xfId="0" applyAlignment="1" applyBorder="1" applyFont="1" applyNumberFormat="1" applyFill="1" applyProtection="1">
      <alignment vertical="center"/>
    </xf>
    <xf xxid="113" numFmtId="0" fontId="6" fillId="0" borderId="16" xfId="0" applyAlignment="1" applyBorder="1" applyFont="1" applyNumberFormat="1" applyFill="1" applyProtection="1">
      <alignment vertical="center"/>
    </xf>
    <xf xxid="114" numFmtId="0" fontId="23" fillId="0" borderId="0" xfId="0" applyAlignment="1" applyBorder="1" applyFont="1" applyNumberFormat="1" applyFill="1" applyProtection="1"/>
    <xf xxid="115" numFmtId="0" fontId="6" fillId="0" borderId="17" xfId="0" applyAlignment="1" applyBorder="1" applyFont="1" applyNumberFormat="1" applyFill="1" applyProtection="1"/>
    <xf xxid="116" numFmtId="0" fontId="6" fillId="0" borderId="11" xfId="0" applyAlignment="1" applyBorder="1" applyFont="1" applyNumberFormat="1" applyFill="1" applyProtection="1"/>
    <xf xxid="117" numFmtId="0" fontId="0" fillId="0" borderId="0" xfId="0" applyAlignment="1" applyBorder="1" applyFont="1" applyNumberFormat="1" applyFill="1" applyProtection="1">
      <alignment vertical="center"/>
    </xf>
    <xf xxid="118" numFmtId="0" fontId="0" fillId="0" borderId="18" xfId="0" applyAlignment="1" applyBorder="1" applyFont="1" applyNumberFormat="1" applyFill="1" applyProtection="1"/>
    <xf xxid="119" numFmtId="0" fontId="5" fillId="0" borderId="13" xfId="0" applyAlignment="1" applyBorder="1" applyFont="1" applyNumberFormat="1" applyFill="1" applyProtection="1">
      <alignment vertical="center" textRotation="90"/>
    </xf>
    <xf xxid="120" numFmtId="0" fontId="5" fillId="0" borderId="4" xfId="0" applyAlignment="1" applyBorder="1" applyFont="1" applyNumberFormat="1" applyFill="1" applyProtection="1">
      <alignment vertical="center" textRotation="90"/>
    </xf>
    <xf xxid="121" numFmtId="0" fontId="5" fillId="0" borderId="14" xfId="0" applyAlignment="1" applyBorder="1" applyFont="1" applyNumberFormat="1" applyFill="1" applyProtection="1">
      <alignment vertical="center" textRotation="90"/>
    </xf>
    <xf xxid="122" numFmtId="0" fontId="12" fillId="0" borderId="0" xfId="0" applyAlignment="1" applyBorder="1" applyFont="1" applyNumberFormat="1" applyFill="1" applyProtection="1">
      <alignment vertical="center"/>
    </xf>
    <xf xxid="123" numFmtId="0" fontId="6" fillId="0" borderId="7" xfId="0" applyAlignment="1" applyBorder="1" applyFont="1" applyNumberFormat="1" applyFill="1" applyProtection="1">
      <alignment horizontal="center" vertical="center"/>
    </xf>
    <xf xxid="124" numFmtId="0" fontId="7" fillId="0" borderId="12" xfId="0" applyAlignment="1" applyBorder="1" applyFont="1" applyNumberFormat="1" applyFill="1" applyProtection="1">
      <alignment vertical="top"/>
    </xf>
    <xf xxid="125" numFmtId="0" fontId="3" fillId="0" borderId="0" xfId="0" applyAlignment="1" applyBorder="1" applyFont="1" applyNumberFormat="1" applyFill="1" applyProtection="1">
      <alignment vertical="top"/>
    </xf>
    <xf xxid="126" numFmtId="0" fontId="6" fillId="4" borderId="0" xfId="0" applyAlignment="1" applyBorder="1" applyFont="1" applyNumberFormat="1" applyFill="1" applyProtection="1"/>
    <xf xxid="127" numFmtId="0" fontId="0" fillId="4" borderId="0" xfId="0" applyAlignment="1" applyBorder="1" applyFont="1" applyNumberFormat="1" applyFill="1" applyProtection="1"/>
    <xf xxid="128" numFmtId="0" fontId="3" fillId="4" borderId="0" xfId="0" applyAlignment="1" applyBorder="1" applyFont="1" applyNumberFormat="1" applyFill="1" applyProtection="1">
      <alignment vertical="center"/>
    </xf>
    <xf xxid="129" numFmtId="0" fontId="14" fillId="0" borderId="4" xfId="0" applyAlignment="1" applyBorder="1" applyFont="1" applyNumberFormat="1" applyFill="1" applyProtection="1">
      <alignment horizontal="center" vertical="center"/>
    </xf>
    <xf xxid="130" numFmtId="0" fontId="14" fillId="0" borderId="14" xfId="0" applyAlignment="1" applyBorder="1" applyFont="1" applyNumberFormat="1" applyFill="1" applyProtection="1">
      <alignment horizontal="center" vertical="center"/>
    </xf>
    <xf xxid="131" numFmtId="0" fontId="0" fillId="0" borderId="1" xfId="0" applyAlignment="1" applyBorder="1" applyFont="1" applyNumberFormat="1" applyFill="1" applyProtection="1">
      <alignment vertical="center"/>
    </xf>
    <xf xxid="132" numFmtId="0" fontId="20" fillId="0" borderId="0" xfId="0" applyAlignment="1" applyBorder="1" applyFont="1" applyNumberFormat="1" applyFill="1" applyProtection="1">
      <alignment horizontal="center" vertical="center"/>
    </xf>
    <xf xxid="133" numFmtId="0" fontId="20" fillId="0" borderId="0" xfId="0" applyAlignment="1" applyBorder="1" applyFont="1" applyNumberFormat="1" applyFill="1" applyProtection="1">
      <alignment horizontal="right" vertical="center"/>
    </xf>
    <xf xxid="134" numFmtId="0" fontId="18" fillId="0" borderId="1" xfId="0" applyAlignment="1" applyBorder="1" applyFont="1" applyNumberFormat="1" applyFill="1" applyProtection="1">
      <alignment vertical="center"/>
    </xf>
    <xf xxid="135" numFmtId="0" fontId="3" fillId="0" borderId="1" xfId="0" applyAlignment="1" applyBorder="1" applyFont="1" applyNumberFormat="1" applyFill="1" applyProtection="1">
      <alignment vertical="center"/>
    </xf>
    <xf xxid="136" numFmtId="0" fontId="15" fillId="0" borderId="0" xfId="0" applyAlignment="1" applyBorder="1" applyFont="1" applyNumberFormat="1" applyFill="1" applyProtection="1">
      <alignment vertical="center"/>
    </xf>
    <xf xxid="137" numFmtId="0" fontId="6" fillId="0" borderId="8" xfId="0" applyAlignment="1" applyBorder="1" applyFont="1" applyNumberFormat="1" applyFill="1" applyProtection="1">
      <alignment vertical="center"/>
    </xf>
    <xf xxid="138" numFmtId="0" fontId="3" fillId="0" borderId="4" xfId="0" applyAlignment="1" applyBorder="1" applyFont="1" applyNumberFormat="1" applyFill="1" applyProtection="1">
      <alignment vertical="center"/>
    </xf>
    <xf xxid="139" numFmtId="0" fontId="2" fillId="0" borderId="0" xfId="0" applyAlignment="1" applyBorder="1" applyFont="1" applyNumberFormat="1" applyFill="1" applyProtection="1">
      <alignment horizontal="center" vertical="center"/>
    </xf>
    <xf xxid="140" numFmtId="0" fontId="0" fillId="0" borderId="4" xfId="0" applyAlignment="1" applyBorder="1" applyFont="1" applyNumberFormat="1" applyFill="1" applyProtection="1">
      <alignment vertical="center"/>
    </xf>
    <xf xxid="141" numFmtId="0" fontId="20" fillId="0" borderId="0" xfId="0" applyAlignment="1" applyBorder="1" applyFont="1" applyNumberFormat="1" applyFill="1" applyProtection="1">
      <alignment vertical="center"/>
    </xf>
    <xf xxid="142" numFmtId="0" fontId="0" fillId="0" borderId="0" xfId="0" applyAlignment="1" applyBorder="1" applyFont="1" applyNumberFormat="1" applyFill="1" applyProtection="1">
      <alignment horizontal="center" vertical="center"/>
    </xf>
    <xf xxid="143" numFmtId="0" fontId="9" fillId="0" borderId="0" xfId="0" applyAlignment="1" applyBorder="1" applyFont="1" applyNumberFormat="1" applyFill="1" applyProtection="1">
      <alignment horizontal="left" vertical="center"/>
    </xf>
    <xf xxid="144" numFmtId="0" fontId="9" fillId="0" borderId="4" xfId="0" applyAlignment="1" applyBorder="1" applyFont="1" applyNumberFormat="1" applyFill="1" applyProtection="1">
      <alignment horizontal="center" vertical="center"/>
    </xf>
    <xf xxid="145" numFmtId="0" fontId="6" fillId="0" borderId="4" xfId="0" applyAlignment="1" applyBorder="1" applyFont="1" applyNumberFormat="1" applyFill="1" applyProtection="1">
      <alignment horizontal="center" vertical="center"/>
    </xf>
    <xf xxid="146" numFmtId="0" fontId="11" fillId="0" borderId="0" xfId="0" applyAlignment="1" applyBorder="1" applyFont="1" applyNumberFormat="1" applyFill="1" applyProtection="1">
      <alignment horizontal="left" vertical="center"/>
    </xf>
    <xf xxid="147" numFmtId="0" fontId="6" fillId="0" borderId="10" xfId="0" applyAlignment="1" applyBorder="1" applyFont="1" applyNumberFormat="1" applyFill="1" applyProtection="1">
      <alignment vertical="center"/>
    </xf>
    <xf xxid="148" numFmtId="0" fontId="28" fillId="0" borderId="0" xfId="0" applyAlignment="1" applyBorder="1" applyFont="1" applyNumberFormat="1" applyFill="1" applyProtection="1">
      <alignment vertical="center"/>
    </xf>
    <xf xxid="149" numFmtId="0" fontId="28" fillId="0" borderId="0" xfId="0" applyAlignment="1" applyBorder="1" applyFont="1" applyNumberFormat="1" applyFill="1" applyProtection="1">
      <alignment horizontal="left" vertical="center"/>
    </xf>
    <xf xxid="150" numFmtId="0" fontId="6" fillId="0" borderId="12" xfId="0" applyAlignment="1" applyBorder="1" applyFont="1" applyNumberFormat="1" applyFill="1" applyProtection="1">
      <alignment horizontal="center"/>
    </xf>
    <xf xxid="151" numFmtId="0" fontId="9" fillId="0" borderId="12" xfId="0" applyAlignment="1" applyBorder="1" applyFont="1" applyNumberFormat="1" applyFill="1" applyProtection="1"/>
    <xf xxid="152" numFmtId="0" fontId="12" fillId="0" borderId="10" xfId="0" applyAlignment="1" applyBorder="1" applyFont="1" applyNumberFormat="1" applyFill="1" applyProtection="1">
      <alignment vertical="center"/>
    </xf>
    <xf xxid="153" numFmtId="0" fontId="7" fillId="0" borderId="12" xfId="0" applyAlignment="1" applyBorder="1" applyFont="1" applyNumberFormat="1" applyFill="1" applyProtection="1"/>
    <xf xxid="154" numFmtId="0" fontId="9" fillId="0" borderId="10" xfId="0" applyAlignment="1" applyBorder="1" applyFont="1" applyNumberFormat="1" applyFill="1" applyProtection="1"/>
    <xf xxid="155" numFmtId="0" fontId="9" fillId="0" borderId="10" xfId="0" applyAlignment="1" applyBorder="1" applyFont="1" applyNumberFormat="1" applyFill="1" applyProtection="1">
      <alignment vertical="center"/>
    </xf>
    <xf xxid="156" numFmtId="0" fontId="6" fillId="0" borderId="19" xfId="0" applyAlignment="1" applyBorder="1" applyFont="1" applyNumberFormat="1" applyFill="1" applyProtection="1"/>
    <xf xxid="157" numFmtId="0" fontId="9" fillId="0" borderId="8" xfId="0" applyAlignment="1" applyBorder="1" applyFont="1" applyNumberFormat="1" applyFill="1" applyProtection="1"/>
    <xf xxid="158" numFmtId="0" fontId="9" fillId="0" borderId="20" xfId="0" applyAlignment="1" applyBorder="1" applyFont="1" applyNumberFormat="1" applyFill="1" applyProtection="1"/>
    <xf xxid="159" numFmtId="0" fontId="9" fillId="0" borderId="8" xfId="0" applyAlignment="1" applyBorder="1" applyFont="1" applyNumberFormat="1" applyFill="1" applyProtection="1">
      <alignment horizontal="center"/>
    </xf>
    <xf xxid="160" numFmtId="0" fontId="6" fillId="0" borderId="21" xfId="0" applyAlignment="1" applyBorder="1" applyFont="1" applyNumberFormat="1" applyFill="1" applyProtection="1">
      <alignment vertical="center"/>
    </xf>
    <xf xxid="161" numFmtId="0" fontId="9" fillId="0" borderId="9" xfId="0" applyAlignment="1" applyBorder="1" applyFont="1" applyNumberFormat="1" applyFill="1" applyProtection="1">
      <alignment horizontal="center"/>
    </xf>
    <xf xxid="162" numFmtId="0" fontId="9" fillId="0" borderId="9" xfId="0" applyAlignment="1" applyBorder="1" applyFont="1" applyNumberFormat="1" applyFill="1" applyProtection="1"/>
    <xf xxid="163" numFmtId="0" fontId="6" fillId="0" borderId="9" xfId="0" applyAlignment="1" applyBorder="1" applyFont="1" applyNumberFormat="1" applyFill="1" applyProtection="1">
      <alignment horizontal="center" vertical="center"/>
    </xf>
    <xf xxid="164" numFmtId="0" fontId="9" fillId="0" borderId="22" xfId="0" applyAlignment="1" applyBorder="1" applyFont="1" applyNumberFormat="1" applyFill="1" applyProtection="1"/>
    <xf xxid="165" numFmtId="0" fontId="26" fillId="0" borderId="8" xfId="0" applyAlignment="1" applyBorder="1" applyFont="1" applyNumberFormat="1" applyFill="1" applyProtection="1"/>
    <xf xxid="166" numFmtId="0" fontId="27" fillId="0" borderId="8" xfId="0" applyAlignment="1" applyBorder="1" applyFont="1" applyNumberFormat="1" applyFill="1" applyProtection="1"/>
    <xf xxid="167" numFmtId="0" fontId="9" fillId="0" borderId="8" xfId="0" applyAlignment="1" applyBorder="1" applyFont="1" applyNumberFormat="1" applyFill="1" applyProtection="1">
      <alignment horizontal="center" vertical="center"/>
    </xf>
    <xf xxid="168" numFmtId="0" fontId="7" fillId="0" borderId="9" xfId="0" applyAlignment="1" applyBorder="1" applyFont="1" applyNumberFormat="1" applyFill="1" applyProtection="1"/>
    <xf xxid="169" numFmtId="0" fontId="7" fillId="0" borderId="9" xfId="0" applyAlignment="1" applyBorder="1" applyFont="1" applyNumberFormat="1" applyFill="1" applyProtection="1">
      <alignment horizontal="center" vertical="center"/>
    </xf>
    <xf xxid="170" numFmtId="0" fontId="3" fillId="0" borderId="10" xfId="0" applyAlignment="1" applyBorder="1" applyFont="1" applyNumberFormat="1" applyFill="1" applyProtection="1">
      <alignment horizontal="center" vertical="center"/>
    </xf>
    <xf xxid="171" numFmtId="0" fontId="3" fillId="0" borderId="23" xfId="0" applyAlignment="1" applyBorder="1" applyFont="1" applyNumberFormat="1" applyFill="1" applyProtection="1">
      <alignment horizontal="center" vertical="center"/>
    </xf>
    <xf xxid="172" numFmtId="0" fontId="3" fillId="0" borderId="10" xfId="0" applyAlignment="1" applyBorder="1" applyFont="1" applyNumberFormat="1" applyFill="1" applyProtection="1">
      <alignment vertical="center"/>
    </xf>
    <xf xxid="173" numFmtId="0" fontId="3" fillId="0" borderId="12" xfId="0" applyAlignment="1" applyBorder="1" applyFont="1" applyNumberFormat="1" applyFill="1" applyProtection="1"/>
    <xf xxid="174" numFmtId="0" fontId="2" fillId="0" borderId="24" xfId="0" applyAlignment="1" applyBorder="1" applyFont="1" applyNumberFormat="1" applyFill="1" applyProtection="1">
      <alignment horizontal="center" vertical="center"/>
    </xf>
    <xf xxid="175" numFmtId="0" fontId="3" fillId="0" borderId="23" xfId="0" applyAlignment="1" applyBorder="1" applyFont="1" applyNumberFormat="1" applyFill="1" applyProtection="1">
      <alignment horizontal="center"/>
    </xf>
    <xf xxid="176" numFmtId="0" fontId="3" fillId="0" borderId="23" xfId="0" applyAlignment="1" applyBorder="1" applyFont="1" applyNumberFormat="1" applyFill="1" applyProtection="1"/>
    <xf xxid="177" numFmtId="0" fontId="3" fillId="0" borderId="9" xfId="0" applyAlignment="1" applyBorder="1" applyFont="1" applyNumberFormat="1" applyFill="1" applyProtection="1"/>
    <xf xxid="178" numFmtId="0" fontId="3" fillId="0" borderId="9" xfId="0" applyAlignment="1" applyBorder="1" applyFont="1" applyNumberFormat="1" applyFill="1" applyProtection="1">
      <alignment horizontal="center"/>
    </xf>
    <xf xxid="179" numFmtId="0" fontId="6" fillId="0" borderId="22" xfId="0" applyAlignment="1" applyBorder="1" applyFont="1" applyNumberFormat="1" applyFill="1" applyProtection="1"/>
    <xf xxid="180" numFmtId="0" fontId="3" fillId="0" borderId="12" xfId="0" applyAlignment="1" applyBorder="1" applyFont="1" applyNumberFormat="1" applyFill="1" applyProtection="1">
      <alignment vertical="center"/>
    </xf>
    <xf xxid="181" numFmtId="0" fontId="3" fillId="0" borderId="8" xfId="0" applyAlignment="1" applyBorder="1" applyFont="1" applyNumberFormat="1" applyFill="1" applyProtection="1">
      <alignment vertical="center"/>
    </xf>
    <xf xxid="182" numFmtId="0" fontId="3" fillId="0" borderId="10" xfId="0" applyAlignment="1" applyBorder="1" applyFont="1" applyNumberFormat="1" applyFill="1" applyProtection="1"/>
    <xf xxid="183" numFmtId="0" fontId="3" fillId="0" borderId="10" xfId="0" applyAlignment="1" applyBorder="1" applyFont="1" applyNumberFormat="1" applyFill="1" applyProtection="1">
      <alignment horizontal="center"/>
    </xf>
    <xf xxid="184" numFmtId="0" fontId="3" fillId="0" borderId="19" xfId="0" applyAlignment="1" applyBorder="1" applyFont="1" applyNumberFormat="1" applyFill="1" applyProtection="1"/>
    <xf xxid="185" numFmtId="0" fontId="3" fillId="4" borderId="8" xfId="0" applyAlignment="1" applyBorder="1" applyFont="1" applyNumberFormat="1" applyFill="1" applyProtection="1">
      <alignment vertical="center"/>
    </xf>
    <xf xxid="186" numFmtId="0" fontId="6" fillId="0" borderId="10" xfId="0" applyAlignment="1" applyBorder="1" applyFont="1" applyNumberFormat="1" applyFill="1" applyProtection="1">
      <alignment horizontal="center"/>
    </xf>
    <xf xxid="187" numFmtId="0" fontId="3" fillId="4" borderId="10" xfId="0" applyAlignment="1" applyBorder="1" applyFont="1" applyNumberFormat="1" applyFill="1" applyProtection="1">
      <alignment vertical="center"/>
    </xf>
    <xf xxid="188" numFmtId="0" fontId="3" fillId="4" borderId="19" xfId="0" applyAlignment="1" applyBorder="1" applyFont="1" applyNumberFormat="1" applyFill="1" applyProtection="1">
      <alignment vertical="center"/>
    </xf>
    <xf xxid="189" numFmtId="0" fontId="9" fillId="0" borderId="23" xfId="0" applyAlignment="1" applyBorder="1" applyFont="1" applyNumberFormat="1" applyFill="1" applyProtection="1"/>
    <xf xxid="190" numFmtId="0" fontId="9" fillId="0" borderId="23" xfId="0" applyAlignment="1" applyBorder="1" applyFont="1" applyNumberFormat="1" applyFill="1" applyProtection="1">
      <alignment horizontal="center"/>
    </xf>
    <xf xxid="191" numFmtId="0" fontId="6" fillId="0" borderId="9" xfId="0" applyAlignment="1" applyBorder="1" applyFont="1" applyNumberFormat="1" applyFill="1" applyProtection="1">
      <alignment horizontal="center"/>
    </xf>
    <xf xxid="192" numFmtId="0" fontId="2" fillId="0" borderId="9" xfId="0" applyAlignment="1" applyBorder="1" applyFont="1" applyNumberFormat="1" applyFill="1" applyProtection="1"/>
    <xf xxid="193" numFmtId="0" fontId="0" fillId="0" borderId="9" xfId="0" applyAlignment="1" applyBorder="1" applyFont="1" applyNumberFormat="1" applyFill="1" applyProtection="1"/>
    <xf xxid="194" numFmtId="0" fontId="6" fillId="0" borderId="23" xfId="0" applyAlignment="1" applyBorder="1" applyFont="1" applyNumberFormat="1" applyFill="1" applyProtection="1"/>
    <xf xxid="195" numFmtId="0" fontId="0" fillId="0" borderId="25" xfId="0" applyAlignment="1" applyBorder="1" applyFont="1" applyNumberFormat="1" applyFill="1" applyProtection="1"/>
    <xf xxid="196" numFmtId="0" fontId="0" fillId="0" borderId="22" xfId="0" applyAlignment="1" applyBorder="1" applyFont="1" applyNumberFormat="1" applyFill="1" applyProtection="1"/>
    <xf xxid="197" numFmtId="0" fontId="2" fillId="0" borderId="19" xfId="0" applyAlignment="1" applyBorder="1" applyFont="1" applyNumberFormat="1" applyFill="1" applyProtection="1">
      <alignment horizontal="center" vertical="center"/>
    </xf>
    <xf xxid="198" numFmtId="0" fontId="3" fillId="4" borderId="23" xfId="0" applyAlignment="1" applyBorder="1" applyFont="1" applyNumberFormat="1" applyFill="1" applyProtection="1">
      <alignment vertical="center"/>
    </xf>
    <xf xxid="199" numFmtId="0" fontId="3" fillId="4" borderId="9" xfId="0" applyAlignment="1" applyBorder="1" applyFont="1" applyNumberFormat="1" applyFill="1" applyProtection="1">
      <alignment vertical="center"/>
    </xf>
    <xf xxid="200" numFmtId="0" fontId="0" fillId="0" borderId="19" xfId="0" applyAlignment="1" applyBorder="1" applyFont="1" applyNumberFormat="1" applyFill="1" applyProtection="1">
      <alignment horizontal="left"/>
    </xf>
    <xf xxid="201" numFmtId="0" fontId="0" fillId="0" borderId="8" xfId="0" applyAlignment="1" applyBorder="1" applyFont="1" applyNumberFormat="1" applyFill="1" applyProtection="1"/>
    <xf xxid="202" numFmtId="0" fontId="0" fillId="0" borderId="20" xfId="0" applyAlignment="1" applyBorder="1" applyFont="1" applyNumberFormat="1" applyFill="1" applyProtection="1"/>
    <xf xxid="203" numFmtId="0" fontId="3" fillId="0" borderId="10" xfId="0" applyAlignment="1" applyBorder="1" applyFont="1" applyNumberFormat="1" applyFill="1" applyProtection="1">
      <alignment horizontal="left"/>
    </xf>
    <xf xxid="204" numFmtId="0" fontId="3" fillId="0" borderId="10" xfId="0" applyAlignment="1" applyBorder="1" applyFont="1" applyNumberFormat="1" applyFill="1" applyProtection="1">
      <alignment vertical="top"/>
    </xf>
    <xf xxid="205" numFmtId="0" fontId="2" fillId="0" borderId="23" xfId="0" applyAlignment="1" applyBorder="1" applyFont="1" applyNumberFormat="1" applyFill="1" applyProtection="1">
      <alignment horizontal="center"/>
    </xf>
    <xf xxid="206" numFmtId="0" fontId="0" fillId="0" borderId="19" xfId="0" applyAlignment="1" applyBorder="1" applyFont="1" applyNumberFormat="1" applyFill="1" applyProtection="1"/>
    <xf xxid="207" numFmtId="0" fontId="0" fillId="0" borderId="23" xfId="0" applyAlignment="1" applyBorder="1" applyFont="1" applyNumberFormat="1" applyFill="1" applyProtection="1">
      <alignment horizontal="left"/>
    </xf>
    <xf xxid="208" numFmtId="0" fontId="0" fillId="4" borderId="12" xfId="0" applyAlignment="1" applyBorder="1" applyFont="1" applyNumberFormat="1" applyFill="1" applyProtection="1"/>
    <xf xxid="209" numFmtId="0" fontId="6" fillId="4" borderId="8" xfId="0" applyAlignment="1" applyBorder="1" applyFont="1" applyNumberFormat="1" applyFill="1" applyProtection="1"/>
    <xf xxid="210" numFmtId="0" fontId="0" fillId="4" borderId="8" xfId="0" applyAlignment="1" applyBorder="1" applyFont="1" applyNumberFormat="1" applyFill="1" applyProtection="1"/>
    <xf xxid="211" numFmtId="0" fontId="0" fillId="4" borderId="20" xfId="0" applyAlignment="1" applyBorder="1" applyFont="1" applyNumberFormat="1" applyFill="1" applyProtection="1"/>
    <xf xxid="212" numFmtId="0" fontId="6" fillId="4" borderId="9" xfId="0" applyAlignment="1" applyBorder="1" applyFont="1" applyNumberFormat="1" applyFill="1" applyProtection="1"/>
    <xf xxid="213" numFmtId="0" fontId="0" fillId="4" borderId="9" xfId="0" applyAlignment="1" applyBorder="1" applyFont="1" applyNumberFormat="1" applyFill="1" applyProtection="1"/>
    <xf xxid="214" numFmtId="0" fontId="0" fillId="4" borderId="22" xfId="0" applyAlignment="1" applyBorder="1" applyFont="1" applyNumberFormat="1" applyFill="1" applyProtection="1"/>
    <xf xxid="215" numFmtId="0" fontId="9" fillId="4" borderId="8" xfId="0" applyAlignment="1" applyBorder="1" applyFont="1" applyNumberFormat="1" applyFill="1" applyProtection="1"/>
    <xf xxid="216" numFmtId="0" fontId="0" fillId="0" borderId="26" xfId="0" applyAlignment="1" applyBorder="1" applyFont="1" applyNumberFormat="1" applyFill="1" applyProtection="1"/>
    <xf xxid="217" numFmtId="0" fontId="9" fillId="4" borderId="10" xfId="0" applyAlignment="1" applyBorder="1" applyFont="1" applyNumberFormat="1" applyFill="1" applyProtection="1"/>
    <xf xxid="218" numFmtId="0" fontId="9" fillId="4" borderId="19" xfId="0" applyAlignment="1" applyBorder="1" applyFont="1" applyNumberFormat="1" applyFill="1" applyProtection="1"/>
    <xf xxid="219" numFmtId="0" fontId="9" fillId="4" borderId="23" xfId="0" applyAlignment="1" applyBorder="1" applyFont="1" applyNumberFormat="1" applyFill="1" applyProtection="1"/>
    <xf xxid="220" numFmtId="0" fontId="10" fillId="0" borderId="0" xfId="0" applyAlignment="1" applyBorder="1" applyFont="1" applyNumberFormat="1" applyFill="1" applyProtection="1">
      <alignment horizontal="left" vertical="center"/>
    </xf>
    <xf xxid="221" numFmtId="0" fontId="6" fillId="0" borderId="0" xfId="0" applyAlignment="1" applyBorder="1" applyFont="1" applyNumberFormat="1" applyFill="1" applyProtection="1">
      <alignment horizontal="right"/>
    </xf>
    <xf xxid="222" numFmtId="0" fontId="10" fillId="0" borderId="27" xfId="0" applyAlignment="1" applyBorder="1" applyFont="1" applyNumberFormat="1" applyFill="1" applyProtection="1">
      <alignment horizontal="left" vertical="center"/>
    </xf>
    <xf xxid="223" numFmtId="0" fontId="10" fillId="0" borderId="28" xfId="0" applyAlignment="1" applyBorder="1" applyFont="1" applyNumberFormat="1" applyFill="1" applyProtection="1">
      <alignment horizontal="left" vertical="center"/>
    </xf>
    <xf xxid="224" numFmtId="0" fontId="10" fillId="0" borderId="29" xfId="0" applyAlignment="1" applyBorder="1" applyFont="1" applyNumberFormat="1" applyFill="1" applyProtection="1">
      <alignment horizontal="left" vertical="center"/>
    </xf>
    <xf xxid="225" numFmtId="0" fontId="10" fillId="0" borderId="21" xfId="0" applyAlignment="1" applyBorder="1" applyFont="1" applyNumberFormat="1" applyFill="1" applyProtection="1">
      <alignment vertical="center" textRotation="90"/>
    </xf>
    <xf xxid="226" numFmtId="0" fontId="2" fillId="0" borderId="21" xfId="0" applyAlignment="1" applyBorder="1" applyFont="1" applyNumberFormat="1" applyFill="1" applyProtection="1"/>
    <xf xxid="227" numFmtId="0" fontId="2" fillId="0" borderId="30" xfId="0" applyAlignment="1" applyBorder="1" applyFont="1" applyNumberFormat="1" applyFill="1" applyProtection="1"/>
    <xf xxid="228" numFmtId="0" fontId="12" fillId="0" borderId="24" xfId="0" applyAlignment="1" applyBorder="1" applyFont="1" applyNumberFormat="1" applyFill="1" applyProtection="1">
      <alignment vertical="center"/>
    </xf>
    <xf xxid="229" numFmtId="0" fontId="12" fillId="0" borderId="23" xfId="0" applyAlignment="1" applyBorder="1" applyFont="1" applyNumberFormat="1" applyFill="1" applyProtection="1">
      <alignment vertical="center"/>
    </xf>
    <xf xxid="230" numFmtId="0" fontId="10" fillId="0" borderId="9" xfId="0" applyAlignment="1" applyBorder="1" applyFont="1" applyNumberFormat="1" applyFill="1" applyProtection="1">
      <alignment vertical="center" textRotation="90"/>
    </xf>
    <xf xxid="231" numFmtId="0" fontId="16" fillId="0" borderId="0" xfId="0" applyAlignment="1" applyBorder="1" applyFont="1" applyNumberFormat="1" applyFill="1" applyProtection="1">
      <alignment vertical="center"/>
    </xf>
    <xf xxid="232" numFmtId="0" fontId="8" fillId="0" borderId="0" xfId="0" applyAlignment="1" applyBorder="1" applyFont="1" applyNumberFormat="1" applyFill="1" applyProtection="1">
      <alignment vertical="center"/>
    </xf>
    <xf xxid="233" numFmtId="0" fontId="5" fillId="0" borderId="0" xfId="0" applyAlignment="1" applyBorder="1" applyFont="1" applyNumberFormat="1" applyFill="1" applyProtection="1">
      <alignment horizontal="center"/>
    </xf>
    <xf xxid="234" numFmtId="0" fontId="15" fillId="0" borderId="1" xfId="0" applyAlignment="1" applyBorder="1" applyFont="1" applyNumberFormat="1" applyFill="1" applyProtection="1">
      <alignment vertical="center" textRotation="90"/>
    </xf>
    <xf xxid="235" numFmtId="0" fontId="5" fillId="0" borderId="1" xfId="0" applyAlignment="1" applyBorder="1" applyFont="1" applyNumberFormat="1" applyFill="1" applyProtection="1">
      <alignment horizontal="center" vertical="center"/>
    </xf>
    <xf xxid="236" numFmtId="0" fontId="15" fillId="0" borderId="21" xfId="0" applyAlignment="1" applyBorder="1" applyFont="1" applyNumberFormat="1" applyFill="1" applyProtection="1">
      <alignment horizontal="center"/>
    </xf>
    <xf xxid="237" numFmtId="0" fontId="9" fillId="0" borderId="21" xfId="0" applyAlignment="1" applyBorder="1" applyFont="1" applyNumberFormat="1" applyFill="1" applyProtection="1"/>
    <xf xxid="238" numFmtId="0" fontId="15" fillId="0" borderId="12" xfId="0" applyAlignment="1" applyBorder="1" applyFont="1" applyNumberFormat="1" applyFill="1" applyProtection="1">
      <alignment horizontal="center"/>
    </xf>
    <xf xxid="239" numFmtId="0" fontId="10" fillId="0" borderId="0" xfId="0" applyAlignment="1" applyBorder="1" applyFont="1" applyNumberFormat="1" applyFill="1" applyProtection="1">
      <alignment horizontal="center"/>
    </xf>
    <xf xxid="240" numFmtId="0" fontId="10" fillId="0" borderId="4" xfId="0" applyAlignment="1" applyBorder="1" applyFont="1" applyNumberFormat="1" applyFill="1" applyProtection="1">
      <alignment horizontal="center" vertical="center"/>
    </xf>
    <xf xxid="241" numFmtId="0" fontId="6" fillId="0" borderId="14" xfId="0" applyAlignment="1" applyBorder="1" applyFont="1" applyNumberFormat="1" applyFill="1" applyProtection="1">
      <alignment vertical="center"/>
    </xf>
    <xf xxid="242" numFmtId="0" fontId="6" fillId="0" borderId="1" xfId="0" applyAlignment="1" applyBorder="1" applyFont="1" applyNumberFormat="1" applyFill="1" applyProtection="1">
      <alignment vertical="center"/>
    </xf>
    <xf xxid="243" numFmtId="0" fontId="6" fillId="0" borderId="1" xfId="0" applyAlignment="1" applyBorder="1" applyFont="1" applyNumberFormat="1" applyFill="1" applyProtection="1"/>
    <xf xxid="244" numFmtId="0" fontId="7" fillId="0" borderId="3" xfId="0" applyAlignment="1" applyBorder="1" applyFont="1" applyNumberFormat="1" applyFill="1" applyProtection="1"/>
    <xf xxid="245" numFmtId="0" fontId="20" fillId="0" borderId="0" xfId="0" applyAlignment="1" applyBorder="1" applyFont="1" applyNumberFormat="1" applyFill="1" applyProtection="1">
      <alignment horizontal="center"/>
    </xf>
    <xf xxid="246" numFmtId="0" fontId="20" fillId="0" borderId="10" xfId="0" applyAlignment="1" applyBorder="1" applyFont="1" applyNumberFormat="1" applyFill="1" applyProtection="1">
      <alignment vertical="top"/>
    </xf>
    <xf xxid="247" numFmtId="0" fontId="20" fillId="0" borderId="10" xfId="0" applyAlignment="1" applyBorder="1" applyFont="1" applyNumberFormat="1" applyFill="1" applyProtection="1">
      <alignment horizontal="center" vertical="top"/>
    </xf>
    <xf xxid="248" numFmtId="0" fontId="20" fillId="0" borderId="0" xfId="0" applyAlignment="1" applyBorder="1" applyFont="1" applyNumberFormat="1" applyFill="1" applyProtection="1">
      <alignment vertical="top"/>
    </xf>
    <xf xxid="249" numFmtId="0" fontId="20" fillId="0" borderId="12" xfId="0" applyAlignment="1" applyBorder="1" applyFont="1" applyNumberFormat="1" applyFill="1" applyProtection="1">
      <alignment vertical="top"/>
    </xf>
    <xf xxid="250" numFmtId="0" fontId="20" fillId="0" borderId="10" xfId="0" applyAlignment="1" applyBorder="1" applyFont="1" applyNumberFormat="1" applyFill="1" applyProtection="1">
      <alignment vertical="center"/>
    </xf>
    <xf xxid="251" numFmtId="0" fontId="20" fillId="0" borderId="12" xfId="0" applyAlignment="1" applyBorder="1" applyFont="1" applyNumberFormat="1" applyFill="1" applyProtection="1">
      <alignment vertical="center"/>
    </xf>
    <xf xxid="252" numFmtId="0" fontId="2" fillId="0" borderId="1" xfId="0" applyAlignment="1" applyBorder="1" applyFont="1" applyNumberFormat="1" applyFill="1" applyProtection="1">
      <alignment vertical="center"/>
    </xf>
    <xf xxid="253" numFmtId="0" fontId="31" fillId="0" borderId="0" xfId="4" applyAlignment="1" applyBorder="1" applyFont="1" applyNumberFormat="1" applyFill="1" applyProtection="1">
      <protection locked="0"/>
    </xf>
    <xf xxid="254" numFmtId="0" fontId="32" fillId="0" borderId="0" xfId="4" applyAlignment="1" applyBorder="1" applyFont="1" applyNumberFormat="1" applyFill="1" applyProtection="1">
      <protection locked="0"/>
    </xf>
    <xf xxid="255" numFmtId="0" fontId="33" fillId="0" borderId="0" xfId="4" applyAlignment="1" applyBorder="1" applyFont="1" applyNumberFormat="1" applyFill="1" applyProtection="1">
      <protection locked="0"/>
    </xf>
    <xf xxid="256" numFmtId="0" fontId="34" fillId="0" borderId="0" xfId="4" applyAlignment="1" applyBorder="1" applyFont="1" applyNumberFormat="1" applyFill="1" applyProtection="1">
      <protection locked="0"/>
    </xf>
    <xf xxid="257" numFmtId="0" fontId="5" fillId="0" borderId="0" xfId="4" applyAlignment="1" applyBorder="1" applyFont="1" applyNumberFormat="1" applyFill="1" applyProtection="1">
      <protection locked="0"/>
    </xf>
    <xf xxid="258" numFmtId="0" fontId="5" fillId="0" borderId="0" xfId="4" applyAlignment="1" applyBorder="1" applyFont="1" applyNumberFormat="1" applyFill="1" applyProtection="1">
      <alignment horizontal="center"/>
      <protection locked="0"/>
    </xf>
    <xf xxid="259" numFmtId="0" fontId="34" fillId="0" borderId="0" xfId="4" applyAlignment="1" applyBorder="1" applyFont="1" applyNumberFormat="1" applyFill="1" applyProtection="1">
      <alignment horizontal="center"/>
      <protection locked="0"/>
    </xf>
    <xf xxid="260" numFmtId="0" fontId="5" fillId="0" borderId="0" xfId="4" applyAlignment="1" applyBorder="1" applyFont="1" applyNumberFormat="1" applyFill="1" applyProtection="1">
      <alignment vertical="center"/>
      <protection locked="0"/>
    </xf>
    <xf xxid="261" numFmtId="167" fontId="2" fillId="5" borderId="7" xfId="1" applyAlignment="1" applyBorder="1" applyFont="1" applyNumberFormat="1" applyFill="1" applyProtection="1">
      <alignment horizontal="right"/>
      <protection locked="0"/>
    </xf>
    <xf xxid="262" numFmtId="0" fontId="5" fillId="0" borderId="0" xfId="0" applyAlignment="1" applyBorder="1" applyFont="1" applyNumberFormat="1" applyFill="1" applyProtection="1">
      <alignment horizontal="center"/>
      <protection locked="0"/>
    </xf>
    <xf xxid="263" numFmtId="0" fontId="17" fillId="0" borderId="0" xfId="0" applyAlignment="1" applyBorder="1" applyFont="1" applyNumberFormat="1" applyFill="1" applyProtection="1">
      <protection locked="0"/>
    </xf>
    <xf xxid="264" numFmtId="0" fontId="17" fillId="0" borderId="12" xfId="0" applyAlignment="1" applyBorder="1" applyFont="1" applyNumberFormat="1" applyFill="1" applyProtection="1"/>
    <xf xxid="265" numFmtId="49" fontId="17" fillId="0" borderId="0" xfId="0" applyAlignment="1" applyBorder="1" applyFont="1" applyNumberFormat="1" applyFill="1" applyProtection="1">
      <alignment horizontal="center"/>
    </xf>
    <xf xxid="266" numFmtId="169" fontId="17" fillId="0" borderId="0" xfId="0" applyAlignment="1" applyBorder="1" applyFont="1" applyNumberFormat="1" applyFill="1" applyProtection="1">
      <alignment horizontal="center"/>
    </xf>
    <xf xxid="267" numFmtId="0" fontId="17" fillId="0" borderId="20" xfId="0" applyAlignment="1" applyBorder="1" applyFont="1" applyNumberFormat="1" applyFill="1" applyProtection="1"/>
    <xf xxid="268" numFmtId="0" fontId="17" fillId="0" borderId="22" xfId="0" applyAlignment="1" applyBorder="1" applyFont="1" applyNumberFormat="1" applyFill="1" applyProtection="1"/>
    <xf xxid="269" numFmtId="0" fontId="10" fillId="0" borderId="7" xfId="0" applyAlignment="1" applyBorder="1" applyFont="1" applyNumberFormat="1" applyFill="1" applyProtection="1">
      <alignment horizontal="center" vertical="center"/>
    </xf>
    <xf xxid="270" numFmtId="0" fontId="10" fillId="0" borderId="7" xfId="0" applyAlignment="1" applyBorder="1" applyFont="1" applyNumberFormat="1" applyFill="1" applyProtection="1">
      <alignment horizontal="center"/>
    </xf>
    <xf xxid="271" numFmtId="169" fontId="17" fillId="0" borderId="0" xfId="0" applyAlignment="1" applyBorder="1" applyFont="1" applyNumberFormat="1" applyFill="1" applyProtection="1"/>
    <xf xxid="272" numFmtId="169" fontId="17" fillId="0" borderId="12" xfId="0" applyAlignment="1" applyBorder="1" applyFont="1" applyNumberFormat="1" applyFill="1" applyProtection="1"/>
    <xf xxid="273" numFmtId="169" fontId="17" fillId="0" borderId="31" xfId="0" applyAlignment="1" applyBorder="1" applyFont="1" applyNumberFormat="1" applyFill="1" applyProtection="1"/>
    <xf xxid="274" numFmtId="169" fontId="9" fillId="0" borderId="0" xfId="0" applyAlignment="1" applyBorder="1" applyFont="1" applyNumberFormat="1" applyFill="1" applyProtection="1"/>
    <xf xxid="275" numFmtId="169" fontId="17" fillId="0" borderId="0" xfId="0" applyAlignment="1" applyBorder="1" applyFont="1" applyNumberFormat="1" applyFill="1" applyProtection="1">
      <alignment horizontal="center" vertical="center"/>
    </xf>
    <xf xxid="276" numFmtId="0" fontId="2" fillId="0" borderId="0" xfId="3" applyAlignment="1" applyBorder="1" applyFont="1" applyNumberFormat="1" applyFill="1" applyProtection="1">
      <protection locked="0"/>
    </xf>
    <xf xxid="277" numFmtId="166" fontId="17" fillId="0" borderId="12" xfId="0" applyAlignment="1" applyBorder="1" applyFont="1" applyNumberFormat="1" applyFill="1" applyProtection="1"/>
    <xf xxid="278" numFmtId="169" fontId="0" fillId="0" borderId="0" xfId="0" applyAlignment="1" applyBorder="1" applyFont="1" applyNumberFormat="1" applyFill="1" applyProtection="1"/>
    <xf xxid="279" numFmtId="169" fontId="6" fillId="0" borderId="0" xfId="0" applyAlignment="1" applyBorder="1" applyFont="1" applyNumberFormat="1" applyFill="1" applyProtection="1">
      <alignment vertical="center"/>
    </xf>
    <xf xxid="280" numFmtId="169" fontId="9" fillId="0" borderId="0" xfId="0" applyAlignment="1" applyBorder="1" applyFont="1" applyNumberFormat="1" applyFill="1" applyProtection="1">
      <alignment vertical="center"/>
    </xf>
    <xf xxid="281" numFmtId="0" fontId="17" fillId="0" borderId="0" xfId="0" applyAlignment="1" applyBorder="1" applyFont="1" applyNumberFormat="1" applyFill="1" applyProtection="1">
      <alignment horizontal="center" vertical="center"/>
    </xf>
    <xf xxid="282" numFmtId="177" fontId="17" fillId="0" borderId="22" xfId="0" applyAlignment="1" applyBorder="1" applyFont="1" applyNumberFormat="1" applyFill="1" applyProtection="1">
      <alignment horizontal="right" vertical="center"/>
    </xf>
    <xf xxid="283" numFmtId="177" fontId="17" fillId="0" borderId="12" xfId="0" applyAlignment="1" applyBorder="1" applyFont="1" applyNumberFormat="1" applyFill="1" applyProtection="1">
      <alignment horizontal="right" vertical="center"/>
    </xf>
    <xf xxid="284" numFmtId="169" fontId="17" fillId="0" borderId="32" xfId="0" applyAlignment="1" applyBorder="1" applyFont="1" applyNumberFormat="1" applyFill="1" applyProtection="1"/>
    <xf xxid="285" numFmtId="169" fontId="17" fillId="0" borderId="22" xfId="0" applyAlignment="1" applyBorder="1" applyFont="1" applyNumberFormat="1" applyFill="1" applyProtection="1"/>
    <xf xxid="286" numFmtId="169" fontId="17" fillId="0" borderId="0" xfId="0" applyAlignment="1" applyBorder="1" applyFont="1" applyNumberFormat="1" applyFill="1" applyProtection="1">
      <alignment vertical="center"/>
    </xf>
    <xf xxid="287" numFmtId="169" fontId="17" fillId="0" borderId="12" xfId="0" applyAlignment="1" applyBorder="1" applyFont="1" applyNumberFormat="1" applyFill="1" applyProtection="1">
      <alignment vertical="center"/>
    </xf>
    <xf xxid="288" numFmtId="169" fontId="17" fillId="0" borderId="31" xfId="0" applyAlignment="1" applyBorder="1" applyFont="1" applyNumberFormat="1" applyFill="1" applyProtection="1">
      <alignment vertical="center"/>
    </xf>
    <xf xxid="289" numFmtId="0" fontId="10" fillId="0" borderId="7" xfId="0" applyAlignment="1" applyBorder="1" applyFont="1" applyNumberFormat="1" applyFill="1" applyProtection="1">
      <alignment vertical="center"/>
    </xf>
    <xf xxid="290" numFmtId="169" fontId="17" fillId="0" borderId="20" xfId="0" applyAlignment="1" applyBorder="1" applyFont="1" applyNumberFormat="1" applyFill="1" applyProtection="1">
      <alignment vertical="center"/>
    </xf>
    <xf xxid="291" numFmtId="169" fontId="17" fillId="0" borderId="22" xfId="0" applyAlignment="1" applyBorder="1" applyFont="1" applyNumberFormat="1" applyFill="1" applyProtection="1">
      <alignment vertical="center"/>
    </xf>
    <xf xxid="292" numFmtId="169" fontId="17" fillId="0" borderId="20" xfId="0" applyAlignment="1" applyBorder="1" applyFont="1" applyNumberFormat="1" applyFill="1" applyProtection="1"/>
    <xf xxid="293" numFmtId="0" fontId="2" fillId="0" borderId="9" xfId="0" applyAlignment="1" applyBorder="1" applyFont="1" applyNumberFormat="1" applyFill="1" applyProtection="1">
      <alignment vertical="center"/>
    </xf>
    <xf xxid="294" numFmtId="0" fontId="6" fillId="0" borderId="9" xfId="0" applyAlignment="1" applyBorder="1" applyFont="1" applyNumberFormat="1" applyFill="1" applyProtection="1">
      <alignment vertical="center"/>
    </xf>
    <xf xxid="295" numFmtId="176" fontId="17" fillId="0" borderId="12" xfId="0" applyAlignment="1" applyBorder="1" applyFont="1" applyNumberFormat="1" applyFill="1" applyProtection="1"/>
    <xf xxid="296" numFmtId="0" fontId="35" fillId="0" borderId="0" xfId="0" applyAlignment="1" applyBorder="1" applyFont="1" applyNumberFormat="1" applyFill="1" applyProtection="1">
      <alignment horizontal="center" vertical="center"/>
    </xf>
    <xf xxid="297" numFmtId="0" fontId="35" fillId="0" borderId="0" xfId="0" applyAlignment="1" applyBorder="1" applyFont="1" applyNumberFormat="1" applyFill="1" applyProtection="1">
      <alignment vertical="center"/>
    </xf>
    <xf xxid="298" numFmtId="0" fontId="35" fillId="0" borderId="10" xfId="0" applyAlignment="1" applyBorder="1" applyFont="1" applyNumberFormat="1" applyFill="1" applyProtection="1">
      <alignment horizontal="center" vertical="center"/>
    </xf>
    <xf xxid="299" numFmtId="177" fontId="17" fillId="0" borderId="22" xfId="0" applyAlignment="1" applyBorder="1" applyFont="1" applyNumberFormat="1" applyFill="1" applyProtection="1"/>
    <xf xxid="300" numFmtId="177" fontId="17" fillId="0" borderId="12" xfId="0" applyAlignment="1" applyBorder="1" applyFont="1" applyNumberFormat="1" applyFill="1" applyProtection="1"/>
    <xf xxid="301" numFmtId="177" fontId="17" fillId="0" borderId="19" xfId="0" applyAlignment="1" applyBorder="1" applyFont="1" applyNumberFormat="1" applyFill="1" applyProtection="1"/>
    <xf xxid="302" numFmtId="177" fontId="17" fillId="0" borderId="8" xfId="0" applyAlignment="1" applyBorder="1" applyFont="1" applyNumberFormat="1" applyFill="1" applyProtection="1"/>
    <xf xxid="303" numFmtId="177" fontId="17" fillId="0" borderId="20" xfId="0" applyAlignment="1" applyBorder="1" applyFont="1" applyNumberFormat="1" applyFill="1" applyProtection="1"/>
    <xf xxid="304" numFmtId="0" fontId="17" fillId="0" borderId="0" xfId="0" applyAlignment="1" applyBorder="1" applyFont="1" applyNumberFormat="1" applyFill="1" applyProtection="1">
      <alignment horizontal="right" vertical="center"/>
    </xf>
    <xf xxid="305" numFmtId="0" fontId="6" fillId="0" borderId="22" xfId="0" applyAlignment="1" applyBorder="1" applyFont="1" applyNumberFormat="1" applyFill="1" applyProtection="1">
      <alignment vertical="center"/>
    </xf>
    <xf xxid="306" numFmtId="0" fontId="2" fillId="0" borderId="8" xfId="0" applyAlignment="1" applyBorder="1" applyFont="1" applyNumberFormat="1" applyFill="1" applyProtection="1">
      <alignment vertical="center"/>
    </xf>
    <xf xxid="307" numFmtId="0" fontId="6" fillId="0" borderId="20" xfId="0" applyAlignment="1" applyBorder="1" applyFont="1" applyNumberFormat="1" applyFill="1" applyProtection="1">
      <alignment vertical="center"/>
    </xf>
    <xf xxid="308" numFmtId="166" fontId="17" fillId="0" borderId="22" xfId="0" applyAlignment="1" applyBorder="1" applyFont="1" applyNumberFormat="1" applyFill="1" applyProtection="1"/>
    <xf xxid="309" numFmtId="166" fontId="17" fillId="0" borderId="31" xfId="0" applyAlignment="1" applyBorder="1" applyFont="1" applyNumberFormat="1" applyFill="1" applyProtection="1"/>
    <xf xxid="310" numFmtId="166" fontId="17" fillId="0" borderId="33" xfId="0" applyAlignment="1" applyBorder="1" applyFont="1" applyNumberFormat="1" applyFill="1" applyProtection="1">
      <alignment vertical="center"/>
    </xf>
    <xf xxid="311" numFmtId="166" fontId="17" fillId="0" borderId="34" xfId="0" applyAlignment="1" applyBorder="1" applyFont="1" applyNumberFormat="1" applyFill="1" applyProtection="1">
      <alignment vertical="center"/>
    </xf>
    <xf xxid="312" numFmtId="0" fontId="17" fillId="0" borderId="12" xfId="0" applyAlignment="1" applyBorder="1" applyFont="1" applyNumberFormat="1" applyFill="1" applyProtection="1">
      <alignment horizontal="right" vertical="center"/>
    </xf>
    <xf xxid="313" numFmtId="169" fontId="3" fillId="0" borderId="10" xfId="0" applyAlignment="1" applyBorder="1" applyFont="1" applyNumberFormat="1" applyFill="1" applyProtection="1">
      <alignment vertical="center"/>
    </xf>
    <xf xxid="314" numFmtId="169" fontId="3" fillId="0" borderId="0" xfId="0" applyAlignment="1" applyBorder="1" applyFont="1" applyNumberFormat="1" applyFill="1" applyProtection="1">
      <alignment vertical="center"/>
    </xf>
    <xf xxid="315" numFmtId="169" fontId="3" fillId="0" borderId="12" xfId="0" applyAlignment="1" applyBorder="1" applyFont="1" applyNumberFormat="1" applyFill="1" applyProtection="1">
      <alignment vertical="center"/>
    </xf>
    <xf xxid="316" numFmtId="0" fontId="13" fillId="0" borderId="0" xfId="0" applyAlignment="1" applyBorder="1" applyFont="1" applyNumberFormat="1" applyFill="1" applyProtection="1">
      <alignment vertical="center"/>
    </xf>
    <xf xxid="317" numFmtId="0" fontId="13" fillId="0" borderId="8" xfId="0" applyAlignment="1" applyBorder="1" applyFont="1" applyNumberFormat="1" applyFill="1" applyProtection="1">
      <alignment vertical="center"/>
    </xf>
    <xf xxid="318" numFmtId="0" fontId="13" fillId="0" borderId="9" xfId="0" applyAlignment="1" applyBorder="1" applyFont="1" applyNumberFormat="1" applyFill="1" applyProtection="1">
      <alignment vertical="center"/>
    </xf>
    <xf xxid="319" numFmtId="0" fontId="0" fillId="0" borderId="28" xfId="0" applyAlignment="1" applyBorder="1" applyFont="1" applyNumberFormat="1" applyFill="1" applyProtection="1"/>
    <xf xxid="320" numFmtId="0" fontId="0" fillId="0" borderId="29" xfId="0" applyAlignment="1" applyBorder="1" applyFont="1" applyNumberFormat="1" applyFill="1" applyProtection="1"/>
    <xf xxid="321" numFmtId="0" fontId="13" fillId="0" borderId="8" xfId="0" applyAlignment="1" applyBorder="1" applyFont="1" applyNumberFormat="1" applyFill="1" applyProtection="1"/>
    <xf xxid="322" numFmtId="0" fontId="13" fillId="0" borderId="9" xfId="0" applyAlignment="1" applyBorder="1" applyFont="1" applyNumberFormat="1" applyFill="1" applyProtection="1"/>
    <xf xxid="323" numFmtId="0" fontId="17" fillId="0" borderId="10" xfId="0" applyAlignment="1" applyBorder="1" applyFont="1" applyNumberFormat="1" applyFill="1" applyProtection="1">
      <alignment horizontal="center" vertical="center" wrapText="1"/>
    </xf>
    <xf xxid="324" numFmtId="0" fontId="17" fillId="0" borderId="0" xfId="0" applyAlignment="1" applyBorder="1" applyFont="1" applyNumberFormat="1" applyFill="1" applyProtection="1">
      <alignment horizontal="center" vertical="center" wrapText="1"/>
    </xf>
    <xf xxid="325" numFmtId="0" fontId="17" fillId="0" borderId="12" xfId="0" applyAlignment="1" applyBorder="1" applyFont="1" applyNumberFormat="1" applyFill="1" applyProtection="1">
      <alignment horizontal="center" vertical="center" wrapText="1"/>
    </xf>
    <xf xxid="326" numFmtId="0" fontId="3" fillId="0" borderId="12" xfId="0" applyAlignment="1" applyBorder="1" applyFont="1" applyNumberFormat="1" applyFill="1" applyProtection="1">
      <alignment horizontal="center" vertical="center"/>
    </xf>
    <xf xxid="327" numFmtId="0" fontId="3" fillId="0" borderId="0" xfId="0" applyAlignment="1" applyBorder="1" applyFont="1" applyNumberFormat="1" applyFill="1" applyProtection="1">
      <alignment horizontal="left" vertical="center"/>
    </xf>
    <xf xxid="328" numFmtId="0" fontId="3" fillId="0" borderId="34" xfId="0" applyAlignment="1" applyBorder="1" applyFont="1" applyNumberFormat="1" applyFill="1" applyProtection="1">
      <alignment horizontal="left" vertical="center"/>
    </xf>
    <xf xxid="329" numFmtId="0" fontId="9" fillId="0" borderId="12" xfId="0" applyAlignment="1" applyBorder="1" applyFont="1" applyNumberFormat="1" applyFill="1" applyProtection="1">
      <alignment horizontal="center"/>
    </xf>
    <xf xxid="330" numFmtId="0" fontId="5" fillId="5" borderId="35" xfId="4" applyAlignment="1" applyBorder="1" applyFont="1" applyNumberFormat="1" applyFill="1" applyProtection="1">
      <protection locked="0"/>
    </xf>
    <xf xxid="331" numFmtId="0" fontId="43" fillId="0" borderId="0" xfId="0" applyAlignment="1" applyBorder="1" applyFont="1" applyNumberFormat="1" applyFill="1" applyProtection="1">
      <alignment vertical="center"/>
    </xf>
    <xf xxid="332" numFmtId="0" fontId="9" fillId="0" borderId="7" xfId="0" applyAlignment="1" applyBorder="1" applyFont="1" applyNumberFormat="1" applyFill="1" applyProtection="1"/>
    <xf xxid="333" numFmtId="0" fontId="6" fillId="0" borderId="21" xfId="0" applyAlignment="1" applyBorder="1" applyFont="1" applyNumberFormat="1" applyFill="1" applyProtection="1">
      <alignment horizontal="center" vertical="center"/>
    </xf>
    <xf xxid="334" numFmtId="0" fontId="16" fillId="0" borderId="0" xfId="0" applyAlignment="1" applyBorder="1" applyFont="1" applyNumberFormat="1" applyFill="1" applyProtection="1">
      <alignment horizontal="center" vertical="center"/>
    </xf>
    <xf xxid="335" numFmtId="181" fontId="17" fillId="0" borderId="0" xfId="0" applyAlignment="1" applyBorder="1" applyFont="1" applyNumberFormat="1" applyFill="1" applyProtection="1">
      <alignment horizontal="center"/>
    </xf>
    <xf xxid="336" numFmtId="0" fontId="0" fillId="0" borderId="10" xfId="0" applyAlignment="1" applyBorder="1" applyFont="1" applyNumberFormat="1" applyFill="1" applyProtection="1">
      <alignment horizontal="center" vertical="center"/>
    </xf>
    <xf xxid="337" numFmtId="0" fontId="17" fillId="6" borderId="0" xfId="4" applyAlignment="1" applyBorder="1" applyFont="1" applyNumberFormat="1" applyFill="1" applyProtection="1">
      <protection locked="0"/>
    </xf>
    <xf xxid="338" numFmtId="0" fontId="3" fillId="0" borderId="36" xfId="0" applyAlignment="1" applyBorder="1" applyFont="1" applyNumberFormat="1" applyFill="1" applyProtection="1">
      <alignment vertical="center"/>
    </xf>
    <xf xxid="339" numFmtId="169" fontId="3" fillId="0" borderId="8" xfId="0" applyAlignment="1" applyBorder="1" applyFont="1" applyNumberFormat="1" applyFill="1" applyProtection="1">
      <alignment horizontal="right" vertical="center"/>
    </xf>
    <xf xxid="340" numFmtId="169" fontId="3" fillId="0" borderId="20" xfId="0" applyAlignment="1" applyBorder="1" applyFont="1" applyNumberFormat="1" applyFill="1" applyProtection="1">
      <alignment horizontal="right" vertical="center"/>
    </xf>
    <xf xxid="341" numFmtId="0" fontId="5" fillId="5" borderId="35" xfId="4" applyAlignment="1" applyBorder="1" applyFont="1" applyNumberFormat="1" applyFill="1" applyProtection="1">
      <alignment horizontal="center" vertical="center"/>
      <protection locked="0"/>
    </xf>
    <xf xxid="342" numFmtId="0" fontId="17" fillId="0" borderId="14" xfId="0" applyAlignment="1" applyBorder="1" applyFont="1" applyNumberFormat="1" applyFill="1" applyProtection="1">
      <alignment vertical="center"/>
    </xf>
    <xf xxid="343" numFmtId="0" fontId="17" fillId="0" borderId="1" xfId="0" applyAlignment="1" applyBorder="1" applyFont="1" applyNumberFormat="1" applyFill="1" applyProtection="1">
      <alignment vertical="center"/>
    </xf>
    <xf xxid="344" numFmtId="0" fontId="17" fillId="0" borderId="3" xfId="0" applyAlignment="1" applyBorder="1" applyFont="1" applyNumberFormat="1" applyFill="1" applyProtection="1">
      <alignment vertical="center"/>
    </xf>
    <xf xxid="345" numFmtId="0" fontId="10" fillId="0" borderId="27" xfId="0" applyAlignment="1" applyBorder="1" applyFont="1" applyNumberFormat="1" applyFill="1" applyProtection="1">
      <alignment vertical="center"/>
    </xf>
    <xf xxid="346" numFmtId="0" fontId="10" fillId="0" borderId="28" xfId="0" applyAlignment="1" applyBorder="1" applyFont="1" applyNumberFormat="1" applyFill="1" applyProtection="1">
      <alignment vertical="center"/>
    </xf>
    <xf xxid="347" numFmtId="0" fontId="10" fillId="0" borderId="29" xfId="0" applyAlignment="1" applyBorder="1" applyFont="1" applyNumberFormat="1" applyFill="1" applyProtection="1">
      <alignment vertical="center"/>
    </xf>
    <xf xxid="348" numFmtId="0" fontId="10" fillId="0" borderId="4" xfId="0" applyAlignment="1" applyBorder="1" applyFont="1" applyNumberFormat="1" applyFill="1" applyProtection="1">
      <alignment vertical="center"/>
    </xf>
    <xf xxid="349" numFmtId="0" fontId="5" fillId="0" borderId="0" xfId="4" applyAlignment="1" applyBorder="1" applyFont="1" applyNumberFormat="1" applyFill="1" applyProtection="1">
      <alignment vertical="center" wrapText="1"/>
    </xf>
    <xf xxid="350" numFmtId="0" fontId="0" fillId="7" borderId="0" xfId="0" applyAlignment="1" applyBorder="1" applyFont="1" applyNumberFormat="1" applyFill="1" applyProtection="1"/>
    <xf xxid="351" numFmtId="169" fontId="5" fillId="0" borderId="35" xfId="3" applyAlignment="1" applyBorder="1" applyFont="1" applyNumberFormat="1" applyFill="1" applyProtection="1">
      <protection hidden="1"/>
    </xf>
    <xf xxid="352" numFmtId="0" fontId="2" fillId="7" borderId="0" xfId="3" applyAlignment="1" applyBorder="1" applyFont="1" applyNumberFormat="1" applyFill="1" applyProtection="1">
      <protection locked="0"/>
    </xf>
    <xf xxid="353" numFmtId="0" fontId="46" fillId="7" borderId="0" xfId="3" applyAlignment="1" applyBorder="1" applyFont="1" applyNumberFormat="1" applyFill="1" applyProtection="1">
      <protection locked="0"/>
    </xf>
    <xf xxid="354" numFmtId="0" fontId="46" fillId="0" borderId="0" xfId="3" applyAlignment="1" applyBorder="1" applyFont="1" applyNumberFormat="1" applyFill="1" applyProtection="1">
      <protection locked="0"/>
    </xf>
    <xf xxid="355" numFmtId="169" fontId="17" fillId="0" borderId="22" xfId="0" applyAlignment="1" applyBorder="1" applyFont="1" applyNumberFormat="1" applyFill="1" applyProtection="1">
      <alignment vertical="center" wrapText="1"/>
    </xf>
    <xf xxid="356" numFmtId="169" fontId="17" fillId="0" borderId="31" xfId="0" applyAlignment="1" applyBorder="1" applyFont="1" applyNumberFormat="1" applyFill="1" applyProtection="1">
      <alignment vertical="center" wrapText="1"/>
    </xf>
    <xf xxid="357" numFmtId="0" fontId="3" fillId="0" borderId="10" xfId="0" applyAlignment="1" applyBorder="1" applyFont="1" applyNumberFormat="1" applyFill="1" applyProtection="1">
      <alignment horizontal="center" vertical="center" wrapText="1"/>
    </xf>
    <xf xxid="358" numFmtId="0" fontId="17" fillId="0" borderId="0" xfId="0" applyAlignment="1" applyBorder="1" applyFont="1" applyNumberFormat="1" applyFill="1" applyProtection="1">
      <alignment vertical="center" wrapText="1"/>
    </xf>
    <xf xxid="359" numFmtId="0" fontId="37" fillId="0" borderId="0" xfId="0" applyAlignment="1" applyBorder="1" applyFont="1" applyNumberFormat="1" applyFill="1" applyProtection="1">
      <alignment horizontal="center" vertical="center" wrapText="1"/>
    </xf>
    <xf xxid="360" numFmtId="0" fontId="17" fillId="0" borderId="10" xfId="0" applyAlignment="1" applyBorder="1" applyFont="1" applyNumberFormat="1" applyFill="1" applyProtection="1">
      <alignment vertical="center" wrapText="1"/>
    </xf>
    <xf xxid="361" numFmtId="0" fontId="17" fillId="0" borderId="12" xfId="0" applyAlignment="1" applyBorder="1" applyFont="1" applyNumberFormat="1" applyFill="1" applyProtection="1">
      <alignment vertical="center" wrapText="1"/>
    </xf>
    <xf xxid="362" numFmtId="169" fontId="17" fillId="0" borderId="12" xfId="0" applyAlignment="1" applyBorder="1" applyFont="1" applyNumberFormat="1" applyFill="1" applyProtection="1">
      <alignment vertical="center" wrapText="1"/>
    </xf>
    <xf xxid="363" numFmtId="0" fontId="6" fillId="0" borderId="0" xfId="0" applyAlignment="1" applyBorder="1" applyFont="1" applyNumberFormat="1" applyFill="1" applyProtection="1">
      <alignment wrapText="1"/>
    </xf>
    <xf xxid="364" numFmtId="0" fontId="9" fillId="0" borderId="0" xfId="0" applyAlignment="1" applyBorder="1" applyFont="1" applyNumberFormat="1" applyFill="1" applyProtection="1">
      <alignment wrapText="1"/>
    </xf>
    <xf xxid="365" numFmtId="0" fontId="0" fillId="0" borderId="0" xfId="0" applyAlignment="1" applyBorder="1" applyFont="1" applyNumberFormat="1" applyFill="1" applyProtection="1">
      <alignment wrapText="1"/>
    </xf>
    <xf xxid="366" numFmtId="0" fontId="36" fillId="0" borderId="0" xfId="0" applyAlignment="1" applyBorder="1" applyFont="1" applyNumberFormat="1" applyFill="1" applyProtection="1">
      <alignment horizontal="center" vertical="center" wrapText="1"/>
    </xf>
    <xf xxid="367" numFmtId="0" fontId="3" fillId="0" borderId="37" xfId="0" applyAlignment="1" applyBorder="1" applyFont="1" applyNumberFormat="1" applyFill="1" applyProtection="1">
      <alignment horizontal="center" vertical="center" wrapText="1"/>
    </xf>
    <xf xxid="368" numFmtId="0" fontId="3" fillId="0" borderId="36" xfId="0" applyAlignment="1" applyBorder="1" applyFont="1" applyNumberFormat="1" applyFill="1" applyProtection="1">
      <alignment horizontal="center" vertical="center" wrapText="1"/>
    </xf>
    <xf xxid="369" numFmtId="0" fontId="2" fillId="0" borderId="0" xfId="4" applyAlignment="1" applyBorder="1" applyFont="1" applyNumberFormat="1" applyFill="1" applyProtection="1">
      <protection locked="0"/>
    </xf>
    <xf xxid="370" numFmtId="4" fontId="2" fillId="5" borderId="7" xfId="1" applyAlignment="1" applyBorder="1" applyFont="1" applyNumberFormat="1" applyFill="1" applyProtection="1">
      <alignment horizontal="right" wrapText="1"/>
      <protection locked="0"/>
    </xf>
    <xf xxid="371" numFmtId="0" fontId="2" fillId="7" borderId="0" xfId="0" applyAlignment="1" applyBorder="1" applyFont="1" applyNumberFormat="1" applyFill="1" applyProtection="1"/>
    <xf xxid="372" numFmtId="0" fontId="2" fillId="5" borderId="35" xfId="4" applyAlignment="1" applyBorder="1" applyFont="1" applyNumberFormat="1" applyFill="1" applyProtection="1">
      <alignment horizontal="center"/>
      <protection locked="0"/>
    </xf>
    <xf xxid="373" numFmtId="49" fontId="2" fillId="5" borderId="35" xfId="4" applyAlignment="1" applyBorder="1" applyFont="1" applyNumberFormat="1" applyFill="1" applyProtection="1">
      <alignment horizontal="center"/>
      <protection locked="0"/>
    </xf>
    <xf xxid="374" numFmtId="0" fontId="1" fillId="0" borderId="0" xfId="13" applyAlignment="1" applyBorder="1" applyFont="1" applyNumberFormat="1" applyFill="1" applyProtection="1"/>
    <xf xxid="375" numFmtId="1" fontId="2" fillId="5" borderId="35" xfId="4" applyAlignment="1" applyBorder="1" applyFont="1" applyNumberFormat="1" applyFill="1" applyProtection="1">
      <alignment horizontal="center"/>
      <protection locked="0"/>
    </xf>
    <xf xxid="376" numFmtId="0" fontId="13" fillId="0" borderId="0" xfId="0" applyAlignment="1" applyBorder="1" applyFont="1" applyNumberFormat="1" applyFill="1" applyProtection="1">
      <alignment horizontal="left"/>
    </xf>
    <xf xxid="377" numFmtId="0" fontId="1" fillId="0" borderId="0" xfId="13" applyAlignment="1" applyBorder="1" applyFont="1" applyNumberFormat="1" applyFill="1" applyProtection="1">
      <alignment horizontal="right" vertical="center"/>
    </xf>
    <xf xxid="378" numFmtId="167" fontId="5" fillId="0" borderId="38" xfId="0" applyAlignment="1" applyBorder="1" applyFont="1" applyNumberFormat="1" applyFill="1" applyProtection="1">
      <alignment horizontal="right" vertical="center"/>
      <protection hidden="1"/>
    </xf>
    <xf xxid="379" numFmtId="167" fontId="5" fillId="0" borderId="35" xfId="0" applyAlignment="1" applyBorder="1" applyFont="1" applyNumberFormat="1" applyFill="1" applyProtection="1">
      <alignment horizontal="right" vertical="center"/>
      <protection hidden="1"/>
    </xf>
    <xf xxid="380" numFmtId="175" fontId="2" fillId="5" borderId="7" xfId="1" applyAlignment="1" applyBorder="1" applyFont="1" applyNumberFormat="1" applyFill="1" applyProtection="1">
      <alignment horizontal="right" wrapText="1"/>
      <protection locked="0"/>
    </xf>
    <xf xxid="381" numFmtId="169" fontId="3" fillId="0" borderId="10" xfId="0" applyAlignment="1" applyBorder="1" applyFont="1" applyNumberFormat="1" applyFill="1" applyProtection="1">
      <alignment vertical="center"/>
      <protection locked="0"/>
    </xf>
    <xf xxid="382" numFmtId="169" fontId="3" fillId="0" borderId="0" xfId="0" applyAlignment="1" applyBorder="1" applyFont="1" applyNumberFormat="1" applyFill="1" applyProtection="1">
      <alignment vertical="center"/>
      <protection locked="0"/>
    </xf>
    <xf xxid="383" numFmtId="169" fontId="3" fillId="0" borderId="12" xfId="0" applyAlignment="1" applyBorder="1" applyFont="1" applyNumberFormat="1" applyFill="1" applyProtection="1">
      <alignment vertical="center"/>
      <protection locked="0"/>
    </xf>
    <xf xxid="384" numFmtId="1" fontId="2" fillId="7" borderId="39" xfId="1" applyAlignment="1" applyBorder="1" applyFont="1" applyNumberFormat="1" applyFill="1" applyProtection="1">
      <alignment wrapText="1"/>
      <protection locked="0"/>
    </xf>
    <xf xxid="385" numFmtId="173" fontId="2" fillId="7" borderId="24" xfId="1" applyAlignment="1" applyBorder="1" applyFont="1" applyNumberFormat="1" applyFill="1" applyProtection="1">
      <alignment horizontal="right" wrapText="1"/>
      <protection locked="0"/>
    </xf>
    <xf xxid="386" numFmtId="1" fontId="2" fillId="7" borderId="30" xfId="1" applyAlignment="1" applyBorder="1" applyFont="1" applyNumberFormat="1" applyFill="1" applyProtection="1">
      <alignment horizontal="left" wrapText="1"/>
      <protection locked="0"/>
    </xf>
    <xf xxid="387" numFmtId="173" fontId="2" fillId="7" borderId="30" xfId="1" applyAlignment="1" applyBorder="1" applyFont="1" applyNumberFormat="1" applyFill="1" applyProtection="1">
      <alignment horizontal="left" wrapText="1"/>
      <protection locked="0"/>
    </xf>
    <xf xxid="388" numFmtId="167" fontId="2" fillId="5" borderId="7" xfId="1" applyAlignment="1" applyBorder="1" applyFont="1" applyNumberFormat="1" applyFill="1" applyProtection="1">
      <alignment horizontal="right" wrapText="1"/>
      <protection locked="0"/>
    </xf>
    <xf xxid="389" numFmtId="4" fontId="5" fillId="0" borderId="0" xfId="15" applyAlignment="1" applyBorder="1" applyFont="1" applyNumberFormat="1" applyFill="1" applyProtection="1">
      <alignment horizontal="center" vertical="center"/>
    </xf>
    <xf xxid="390" numFmtId="167" fontId="2" fillId="0" borderId="0" xfId="15" applyAlignment="1" applyBorder="1" applyFont="1" applyNumberFormat="1" applyFill="1" applyProtection="1">
      <alignment horizontal="center" vertical="center"/>
    </xf>
    <xf xxid="391" numFmtId="0" fontId="50" fillId="0" borderId="4" xfId="0" applyAlignment="1" applyBorder="1" applyFont="1" applyNumberFormat="1" applyFill="1" applyProtection="1">
      <alignment horizontal="left"/>
    </xf>
    <xf xxid="392" numFmtId="0" fontId="28" fillId="0" borderId="7" xfId="0" applyAlignment="1" applyBorder="1" applyFont="1" applyNumberFormat="1" applyFill="1" applyProtection="1">
      <alignment horizontal="left" vertical="center"/>
    </xf>
    <xf xxid="393" numFmtId="0" fontId="52" fillId="0" borderId="0" xfId="0" applyAlignment="1" applyBorder="1" applyFont="1" applyNumberFormat="1" applyFill="1" applyProtection="1">
      <alignment horizontal="right"/>
    </xf>
    <xf xxid="394" numFmtId="0" fontId="6" fillId="0" borderId="0" xfId="0" applyAlignment="1" applyBorder="1" applyFont="1" applyNumberFormat="1" applyFill="1" applyProtection="1">
      <alignment horizontal="right" wrapText="1"/>
    </xf>
    <xf xxid="395" numFmtId="0" fontId="51" fillId="0" borderId="0" xfId="0" applyAlignment="1" applyBorder="1" applyFont="1" applyNumberFormat="1" applyFill="1" applyProtection="1"/>
    <xf xxid="396" numFmtId="0" fontId="52" fillId="0" borderId="0" xfId="0" applyAlignment="1" applyBorder="1" applyFont="1" applyNumberFormat="1" applyFill="1" applyProtection="1">
      <alignment vertical="center"/>
    </xf>
    <xf xxid="397" numFmtId="0" fontId="7" fillId="0" borderId="0" xfId="0" applyAlignment="1" applyBorder="1" applyFont="1" applyNumberFormat="1" applyFill="1" applyProtection="1">
      <alignment vertical="center"/>
    </xf>
    <xf xxid="398" numFmtId="0" fontId="6" fillId="0" borderId="36" xfId="0" applyAlignment="1" applyBorder="1" applyFont="1" applyNumberFormat="1" applyFill="1" applyProtection="1">
      <alignment horizontal="center" vertical="center"/>
    </xf>
    <xf xxid="399" numFmtId="0" fontId="57" fillId="0" borderId="10" xfId="0" applyAlignment="1" applyBorder="1" applyFont="1" applyNumberFormat="1" applyFill="1" applyProtection="1">
      <alignment vertical="top"/>
    </xf>
    <xf xxid="400" numFmtId="0" fontId="9" fillId="0" borderId="37" xfId="0" applyAlignment="1" applyBorder="1" applyFont="1" applyNumberFormat="1" applyFill="1" applyProtection="1">
      <alignment horizontal="center" vertical="center"/>
    </xf>
    <xf xxid="401" numFmtId="0" fontId="15" fillId="0" borderId="0" xfId="0" applyAlignment="1" applyBorder="1" applyFont="1" applyNumberFormat="1" applyFill="1" applyProtection="1">
      <alignment vertical="center"/>
      <protection locked="0"/>
    </xf>
    <xf xxid="402" numFmtId="0" fontId="17" fillId="0" borderId="10" xfId="0" applyAlignment="1" applyBorder="1" applyFont="1" applyNumberFormat="1" applyFill="1" applyProtection="1">
      <alignment horizontal="left" vertical="center" wrapText="1"/>
    </xf>
    <xf xxid="403" numFmtId="0" fontId="17" fillId="0" borderId="0" xfId="0" applyAlignment="1" applyBorder="1" applyFont="1" applyNumberFormat="1" applyFill="1" applyProtection="1">
      <alignment horizontal="left" vertical="center" wrapText="1"/>
    </xf>
    <xf xxid="404" numFmtId="0" fontId="17" fillId="0" borderId="12" xfId="0" applyAlignment="1" applyBorder="1" applyFont="1" applyNumberFormat="1" applyFill="1" applyProtection="1">
      <alignment horizontal="left" vertical="center" wrapText="1"/>
    </xf>
    <xf xxid="405" numFmtId="169" fontId="17" fillId="0" borderId="10" xfId="0" applyAlignment="1" applyBorder="1" applyFont="1" applyNumberFormat="1" applyFill="1" applyProtection="1">
      <alignment horizontal="center" vertical="center"/>
    </xf>
    <xf xxid="406" numFmtId="169" fontId="17" fillId="0" borderId="19" xfId="0" applyAlignment="1" applyBorder="1" applyFont="1" applyNumberFormat="1" applyFill="1" applyProtection="1">
      <alignment horizontal="center" vertical="center"/>
    </xf>
    <xf xxid="407" numFmtId="0" fontId="62" fillId="6" borderId="0" xfId="0" applyAlignment="1" applyBorder="1" applyFont="1" applyNumberFormat="1" applyFill="1" applyProtection="1">
      <protection hidden="1"/>
    </xf>
    <xf xxid="408" numFmtId="0" fontId="63" fillId="6" borderId="0" xfId="0" applyAlignment="1" applyBorder="1" applyFont="1" applyNumberFormat="1" applyFill="1" applyProtection="1">
      <alignment horizontal="right"/>
      <protection hidden="1"/>
    </xf>
    <xf xxid="409" numFmtId="0" fontId="64" fillId="6" borderId="0" xfId="0" applyAlignment="1" applyBorder="1" applyFont="1" applyNumberFormat="1" applyFill="1" applyProtection="1">
      <protection hidden="1"/>
    </xf>
    <xf xxid="410" numFmtId="0" fontId="65" fillId="6" borderId="0" xfId="0" applyAlignment="1" applyBorder="1" applyFont="1" applyNumberFormat="1" applyFill="1" applyProtection="1">
      <protection hidden="1"/>
    </xf>
    <xf xxid="411" numFmtId="0" fontId="63" fillId="6" borderId="0" xfId="0" applyAlignment="1" applyBorder="1" applyFont="1" applyNumberFormat="1" applyFill="1" applyProtection="1">
      <protection hidden="1"/>
    </xf>
    <xf xxid="412" numFmtId="0" fontId="66" fillId="6" borderId="0" xfId="0" applyAlignment="1" applyBorder="1" applyFont="1" applyNumberFormat="1" applyFill="1" applyProtection="1">
      <alignment horizontal="right"/>
      <protection hidden="1"/>
    </xf>
    <xf xxid="413" numFmtId="0" fontId="67" fillId="6" borderId="0" xfId="0" applyAlignment="1" applyBorder="1" applyFont="1" applyNumberFormat="1" applyFill="1" applyProtection="1">
      <protection hidden="1"/>
    </xf>
    <xf xxid="414" numFmtId="0" fontId="62" fillId="8" borderId="0" xfId="0" applyAlignment="1" applyBorder="1" applyFont="1" applyNumberFormat="1" applyFill="1" applyProtection="1">
      <protection hidden="1"/>
    </xf>
    <xf xxid="415" numFmtId="0" fontId="62" fillId="7" borderId="0" xfId="0" applyAlignment="1" applyBorder="1" applyFont="1" applyNumberFormat="1" applyFill="1" applyProtection="1">
      <protection hidden="1"/>
    </xf>
    <xf xxid="416" numFmtId="0" fontId="68" fillId="7" borderId="0" xfId="0" applyAlignment="1" applyBorder="1" applyFont="1" applyNumberFormat="1" applyFill="1" applyProtection="1">
      <protection hidden="1"/>
    </xf>
    <xf xxid="417" numFmtId="0" fontId="69" fillId="7" borderId="0" xfId="0" applyAlignment="1" applyBorder="1" applyFont="1" applyNumberFormat="1" applyFill="1" applyProtection="1">
      <alignment vertical="center" wrapText="1" shrinkToFit="1"/>
      <protection hidden="1"/>
    </xf>
    <xf xxid="418" numFmtId="0" fontId="65" fillId="7" borderId="0" xfId="0" applyAlignment="1" applyBorder="1" applyFont="1" applyNumberFormat="1" applyFill="1" applyProtection="1">
      <alignment vertical="center" wrapText="1"/>
      <protection hidden="1"/>
    </xf>
    <xf xxid="419" numFmtId="0" fontId="65" fillId="7" borderId="0" xfId="0" applyAlignment="1" applyBorder="1" applyFont="1" applyNumberFormat="1" applyFill="1" applyProtection="1">
      <alignment horizontal="center"/>
      <protection hidden="1"/>
    </xf>
    <xf xxid="420" numFmtId="179" fontId="62" fillId="7" borderId="0" xfId="1" applyAlignment="1" applyBorder="1" applyFont="1" applyNumberFormat="1" applyFill="1" applyProtection="1">
      <protection hidden="1"/>
    </xf>
    <xf xxid="421" numFmtId="0" fontId="65" fillId="7" borderId="0" xfId="0" applyAlignment="1" applyBorder="1" applyFont="1" applyNumberFormat="1" applyFill="1" applyProtection="1">
      <protection hidden="1"/>
    </xf>
    <xf xxid="422" numFmtId="0" fontId="65" fillId="7" borderId="27" xfId="0" applyAlignment="1" applyBorder="1" applyFont="1" applyNumberFormat="1" applyFill="1" applyProtection="1">
      <protection hidden="1"/>
    </xf>
    <xf xxid="423" numFmtId="0" fontId="62" fillId="7" borderId="28" xfId="0" applyAlignment="1" applyBorder="1" applyFont="1" applyNumberFormat="1" applyFill="1" applyProtection="1">
      <protection hidden="1"/>
    </xf>
    <xf xxid="424" numFmtId="179" fontId="65" fillId="7" borderId="0" xfId="1" applyAlignment="1" applyBorder="1" applyFont="1" applyNumberFormat="1" applyFill="1" applyProtection="1">
      <protection hidden="1"/>
    </xf>
    <xf xxid="425" numFmtId="0" fontId="62" fillId="7" borderId="0" xfId="3" applyAlignment="1" applyBorder="1" applyFont="1" applyNumberFormat="1" applyFill="1" applyProtection="1">
      <protection hidden="1"/>
    </xf>
    <xf xxid="426" numFmtId="169" fontId="65" fillId="7" borderId="0" xfId="3" applyAlignment="1" applyBorder="1" applyFont="1" applyNumberFormat="1" applyFill="1" applyProtection="1">
      <alignment horizontal="center"/>
      <protection hidden="1"/>
    </xf>
    <xf xxid="427" numFmtId="167" fontId="62" fillId="7" borderId="0" xfId="1" applyAlignment="1" applyBorder="1" applyFont="1" applyNumberFormat="1" applyFill="1" applyProtection="1">
      <protection hidden="1"/>
    </xf>
    <xf xxid="428" numFmtId="0" fontId="68" fillId="6" borderId="0" xfId="0" applyAlignment="1" applyBorder="1" applyFont="1" applyNumberFormat="1" applyFill="1" applyProtection="1">
      <protection hidden="1"/>
    </xf>
    <xf xxid="429" numFmtId="174" fontId="70" fillId="6" borderId="0" xfId="0" applyAlignment="1" applyBorder="1" applyFont="1" applyNumberFormat="1" applyFill="1" applyProtection="1">
      <alignment horizontal="left" vertical="center" wrapText="1"/>
      <protection hidden="1"/>
    </xf>
    <xf xxid="430" numFmtId="0" fontId="65" fillId="7" borderId="27" xfId="3" applyAlignment="1" applyBorder="1" applyFont="1" applyNumberFormat="1" applyFill="1" applyProtection="1">
      <protection hidden="1"/>
    </xf>
    <xf xxid="431" numFmtId="0" fontId="65" fillId="7" borderId="28" xfId="3" applyAlignment="1" applyBorder="1" applyFont="1" applyNumberFormat="1" applyFill="1" applyProtection="1">
      <protection hidden="1"/>
    </xf>
    <xf xxid="432" numFmtId="0" fontId="65" fillId="7" borderId="40" xfId="3" applyAlignment="1" applyBorder="1" applyFont="1" applyNumberFormat="1" applyFill="1" applyProtection="1">
      <protection hidden="1"/>
    </xf>
    <xf xxid="433" numFmtId="0" fontId="65" fillId="6" borderId="0" xfId="0" applyAlignment="1" applyBorder="1" applyFont="1" applyNumberFormat="1" applyFill="1" applyProtection="1">
      <alignment vertical="center"/>
      <protection hidden="1"/>
    </xf>
    <xf xxid="434" numFmtId="0" fontId="66" fillId="6" borderId="0" xfId="0" applyAlignment="1" applyBorder="1" applyFont="1" applyNumberFormat="1" applyFill="1" applyProtection="1">
      <alignment vertical="center"/>
      <protection hidden="1"/>
    </xf>
    <xf xxid="435" numFmtId="179" fontId="66" fillId="6" borderId="0" xfId="1" applyAlignment="1" applyBorder="1" applyFont="1" applyNumberFormat="1" applyFill="1" applyProtection="1">
      <alignment horizontal="center" vertical="center"/>
      <protection hidden="1"/>
    </xf>
    <xf xxid="436" numFmtId="0" fontId="62" fillId="6" borderId="0" xfId="0" applyAlignment="1" applyBorder="1" applyFont="1" applyNumberFormat="1" applyFill="1" applyProtection="1">
      <alignment vertical="center"/>
      <protection hidden="1"/>
    </xf>
    <xf xxid="437" numFmtId="0" fontId="62" fillId="6" borderId="0" xfId="0" applyAlignment="1" applyBorder="1" applyFont="1" applyNumberFormat="1" applyFill="1" applyProtection="1">
      <alignment horizontal="center" vertical="center"/>
      <protection hidden="1"/>
    </xf>
    <xf xxid="438" numFmtId="0" fontId="62" fillId="0" borderId="0" xfId="0" applyAlignment="1" applyBorder="1" applyFont="1" applyNumberFormat="1" applyFill="1" applyProtection="1">
      <protection hidden="1"/>
    </xf>
    <xf xxid="439" numFmtId="0" fontId="62" fillId="6" borderId="0" xfId="0" applyAlignment="1" applyBorder="1" applyFont="1" applyNumberFormat="1" applyFill="1" applyProtection="1">
      <alignment horizontal="center"/>
      <protection hidden="1"/>
    </xf>
    <xf xxid="440" numFmtId="174" fontId="70" fillId="6" borderId="0" xfId="0" applyAlignment="1" applyBorder="1" applyFont="1" applyNumberFormat="1" applyFill="1" applyProtection="1">
      <alignment horizontal="center" vertical="center" wrapText="1"/>
      <protection hidden="1"/>
    </xf>
    <xf xxid="441" numFmtId="168" fontId="62" fillId="6" borderId="0" xfId="0" applyAlignment="1" applyBorder="1" applyFont="1" applyNumberFormat="1" applyFill="1" applyProtection="1">
      <alignment horizontal="center"/>
      <protection hidden="1"/>
    </xf>
    <xf xxid="442" numFmtId="179" fontId="62" fillId="6" borderId="0" xfId="1" applyAlignment="1" applyBorder="1" applyFont="1" applyNumberFormat="1" applyFill="1" applyProtection="1">
      <alignment horizontal="center"/>
      <protection hidden="1"/>
    </xf>
    <xf xxid="443" numFmtId="0" fontId="70" fillId="6" borderId="0" xfId="0" applyAlignment="1" applyBorder="1" applyFont="1" applyNumberFormat="1" applyFill="1" applyProtection="1">
      <protection hidden="1"/>
    </xf>
    <xf xxid="444" numFmtId="0" fontId="62" fillId="0" borderId="0" xfId="0" applyAlignment="1" applyBorder="1" applyFont="1" applyNumberFormat="1" applyFill="1" applyProtection="1">
      <alignment vertical="center"/>
      <protection hidden="1"/>
    </xf>
    <xf xxid="445" numFmtId="169" fontId="65" fillId="6" borderId="0" xfId="0" applyAlignment="1" applyBorder="1" applyFont="1" applyNumberFormat="1" applyFill="1" applyProtection="1">
      <alignment horizontal="center" vertical="center"/>
      <protection hidden="1"/>
    </xf>
    <xf xxid="446" numFmtId="0" fontId="65" fillId="6" borderId="0" xfId="0" applyAlignment="1" applyBorder="1" applyFont="1" applyNumberFormat="1" applyFill="1" applyProtection="1">
      <alignment horizontal="center" vertical="center"/>
      <protection hidden="1"/>
    </xf>
    <xf xxid="447" numFmtId="0" fontId="68" fillId="0" borderId="0" xfId="0" applyAlignment="1" applyBorder="1" applyFont="1" applyNumberFormat="1" applyFill="1" applyProtection="1">
      <protection hidden="1"/>
    </xf>
    <xf xxid="448" numFmtId="0" fontId="71" fillId="9" borderId="0" xfId="0" applyAlignment="1" applyBorder="1" applyFont="1" applyNumberFormat="1" applyFill="1" applyProtection="1">
      <protection hidden="1"/>
    </xf>
    <xf xxid="449" numFmtId="0" fontId="62" fillId="9" borderId="0" xfId="0" applyAlignment="1" applyBorder="1" applyFont="1" applyNumberFormat="1" applyFill="1" applyProtection="1">
      <protection hidden="1"/>
    </xf>
    <xf xxid="450" numFmtId="0" fontId="62" fillId="10" borderId="0" xfId="0" applyAlignment="1" applyBorder="1" applyFont="1" applyNumberFormat="1" applyFill="1" applyProtection="1">
      <protection hidden="1"/>
    </xf>
    <xf xxid="451" numFmtId="0" fontId="68" fillId="10" borderId="0" xfId="0" applyAlignment="1" applyBorder="1" applyFont="1" applyNumberFormat="1" applyFill="1" applyProtection="1">
      <protection hidden="1"/>
    </xf>
    <xf xxid="452" numFmtId="0" fontId="65" fillId="10" borderId="0" xfId="0" applyAlignment="1" applyBorder="1" applyFont="1" applyNumberFormat="1" applyFill="1" applyProtection="1">
      <protection hidden="1"/>
    </xf>
    <xf xxid="453" numFmtId="0" fontId="62" fillId="10" borderId="0" xfId="0" applyAlignment="1" applyBorder="1" applyFont="1" applyNumberFormat="1" applyFill="1" applyProtection="1">
      <alignment horizontal="left"/>
      <protection hidden="1"/>
    </xf>
    <xf xxid="454" numFmtId="169" fontId="62" fillId="10" borderId="0" xfId="1" applyAlignment="1" applyBorder="1" applyFont="1" applyNumberFormat="1" applyFill="1" applyProtection="1">
      <protection hidden="1"/>
    </xf>
    <xf xxid="455" numFmtId="169" fontId="62" fillId="10" borderId="0" xfId="1" applyAlignment="1" applyBorder="1" applyFont="1" applyNumberFormat="1" applyFill="1" applyProtection="1">
      <alignment horizontal="center"/>
      <protection hidden="1"/>
    </xf>
    <xf xxid="456" numFmtId="174" fontId="72" fillId="0" borderId="0" xfId="0" applyAlignment="1" applyBorder="1" applyFont="1" applyNumberFormat="1" applyFill="1" applyProtection="1">
      <protection hidden="1"/>
    </xf>
    <xf xxid="457" numFmtId="0" fontId="62" fillId="10" borderId="0" xfId="0" applyAlignment="1" applyBorder="1" applyFont="1" applyNumberFormat="1" applyFill="1" applyProtection="1">
      <alignment horizontal="center"/>
      <protection hidden="1"/>
    </xf>
    <xf xxid="458" numFmtId="0" fontId="62" fillId="10" borderId="8" xfId="0" applyAlignment="1" applyBorder="1" applyFont="1" applyNumberFormat="1" applyFill="1" applyProtection="1">
      <protection hidden="1"/>
    </xf>
    <xf xxid="459" numFmtId="0" fontId="70" fillId="10" borderId="0" xfId="0" applyAlignment="1" applyBorder="1" applyFont="1" applyNumberFormat="1" applyFill="1" applyProtection="1">
      <protection hidden="1"/>
    </xf>
    <xf xxid="460" numFmtId="0" fontId="62" fillId="11" borderId="0" xfId="0" applyAlignment="1" applyBorder="1" applyFont="1" applyNumberFormat="1" applyFill="1" applyProtection="1">
      <protection hidden="1"/>
    </xf>
    <xf xxid="461" numFmtId="0" fontId="68" fillId="11" borderId="0" xfId="0" applyAlignment="1" applyBorder="1" applyFont="1" applyNumberFormat="1" applyFill="1" applyProtection="1">
      <protection hidden="1"/>
    </xf>
    <xf xxid="462" numFmtId="0" fontId="65" fillId="11" borderId="0" xfId="0" applyAlignment="1" applyBorder="1" applyFont="1" applyNumberFormat="1" applyFill="1" applyProtection="1">
      <protection hidden="1"/>
    </xf>
    <xf xxid="463" numFmtId="0" fontId="62" fillId="11" borderId="0" xfId="0" applyAlignment="1" applyBorder="1" applyFont="1" applyNumberFormat="1" applyFill="1" applyProtection="1">
      <alignment horizontal="left"/>
      <protection hidden="1"/>
    </xf>
    <xf xxid="464" numFmtId="169" fontId="62" fillId="11" borderId="0" xfId="1" applyAlignment="1" applyBorder="1" applyFont="1" applyNumberFormat="1" applyFill="1" applyProtection="1">
      <protection hidden="1"/>
    </xf>
    <xf xxid="465" numFmtId="169" fontId="62" fillId="11" borderId="0" xfId="1" applyAlignment="1" applyBorder="1" applyFont="1" applyNumberFormat="1" applyFill="1" applyProtection="1">
      <alignment horizontal="center"/>
      <protection hidden="1"/>
    </xf>
    <xf xxid="466" numFmtId="0" fontId="62" fillId="11" borderId="0" xfId="0" applyAlignment="1" applyBorder="1" applyFont="1" applyNumberFormat="1" applyFill="1" applyProtection="1">
      <alignment horizontal="center"/>
      <protection hidden="1"/>
    </xf>
    <xf xxid="467" numFmtId="0" fontId="62" fillId="11" borderId="8" xfId="0" applyAlignment="1" applyBorder="1" applyFont="1" applyNumberFormat="1" applyFill="1" applyProtection="1">
      <protection hidden="1"/>
    </xf>
    <xf xxid="468" numFmtId="0" fontId="70" fillId="11" borderId="0" xfId="0" applyAlignment="1" applyBorder="1" applyFont="1" applyNumberFormat="1" applyFill="1" applyProtection="1">
      <protection hidden="1"/>
    </xf>
    <xf xxid="469" numFmtId="0" fontId="2" fillId="0" borderId="0" xfId="4" applyAlignment="1" applyBorder="1" applyFont="1" applyNumberFormat="1" applyFill="1" applyProtection="1"/>
    <xf xxid="470" numFmtId="0" fontId="2" fillId="0" borderId="0" xfId="8" applyAlignment="1" applyBorder="1" applyFont="1" applyNumberFormat="1" applyFill="1" applyProtection="1">
      <protection locked="0"/>
    </xf>
    <xf xxid="471" numFmtId="0" fontId="2" fillId="0" borderId="0" xfId="4" applyAlignment="1" applyBorder="1" applyFont="1" applyNumberFormat="1" applyFill="1" applyProtection="1">
      <protection hidden="1"/>
    </xf>
    <xf xxid="472" numFmtId="0" fontId="2" fillId="0" borderId="0" xfId="5" applyAlignment="1" applyBorder="1" applyFont="1" applyNumberFormat="1" applyFill="1" applyProtection="1">
      <protection hidden="1"/>
    </xf>
    <xf xxid="473" numFmtId="172" fontId="2" fillId="0" borderId="0" xfId="4" applyAlignment="1" applyBorder="1" applyFont="1" applyNumberFormat="1" applyFill="1" applyProtection="1">
      <protection hidden="1"/>
    </xf>
    <xf xxid="474" numFmtId="0" fontId="2" fillId="5" borderId="35" xfId="0" applyAlignment="1" applyBorder="1" applyFont="1" applyNumberFormat="1" applyFill="1" applyProtection="1">
      <alignment horizontal="center"/>
      <protection locked="0"/>
    </xf>
    <xf xxid="475" numFmtId="171" fontId="2" fillId="5" borderId="35" xfId="4" applyAlignment="1" applyBorder="1" applyFont="1" applyNumberFormat="1" applyFill="1" applyProtection="1">
      <alignment horizontal="center"/>
      <protection locked="0"/>
    </xf>
    <xf xxid="476" numFmtId="0" fontId="2" fillId="0" borderId="0" xfId="4" applyAlignment="1" applyBorder="1" applyFont="1" applyNumberFormat="1" applyFill="1" applyProtection="1">
      <alignment horizontal="left"/>
      <protection locked="0"/>
    </xf>
    <xf xxid="477" numFmtId="170" fontId="2" fillId="0" borderId="0" xfId="4" applyAlignment="1" applyBorder="1" applyFont="1" applyNumberFormat="1" applyFill="1" applyProtection="1">
      <alignment horizontal="right"/>
      <protection locked="0"/>
    </xf>
    <xf xxid="478" numFmtId="170" fontId="2" fillId="6" borderId="41" xfId="0" applyAlignment="1" applyBorder="1" applyFont="1" applyNumberFormat="1" applyFill="1" applyProtection="1"/>
    <xf xxid="479" numFmtId="170" fontId="2" fillId="6" borderId="41" xfId="0" applyAlignment="1" applyBorder="1" applyFont="1" applyNumberFormat="1" applyFill="1" applyProtection="1">
      <protection hidden="1"/>
    </xf>
    <xf xxid="480" numFmtId="173" fontId="2" fillId="5" borderId="35" xfId="0" applyAlignment="1" applyBorder="1" applyFont="1" applyNumberFormat="1" applyFill="1" applyProtection="1">
      <alignment horizontal="center"/>
      <protection locked="0"/>
    </xf>
    <xf xxid="481" numFmtId="0" fontId="73" fillId="12" borderId="0" xfId="4" applyAlignment="1" applyBorder="1" applyFont="1" applyNumberFormat="1" applyFill="1" applyProtection="1">
      <alignment vertical="center"/>
    </xf>
    <xf xxid="482" numFmtId="0" fontId="74" fillId="12" borderId="0" xfId="4" applyAlignment="1" applyBorder="1" applyFont="1" applyNumberFormat="1" applyFill="1" applyProtection="1">
      <alignment horizontal="center"/>
    </xf>
    <xf xxid="483" numFmtId="0" fontId="30" fillId="13" borderId="0" xfId="4" applyAlignment="1" applyBorder="1" applyFont="1" applyNumberFormat="1" applyFill="1" applyProtection="1">
      <alignment horizontal="left" vertical="center"/>
    </xf>
    <xf xxid="484" numFmtId="0" fontId="29" fillId="13" borderId="0" xfId="4" applyAlignment="1" applyBorder="1" applyFont="1" applyNumberFormat="1" applyFill="1" applyProtection="1">
      <alignment horizontal="left" vertical="center"/>
    </xf>
    <xf xxid="485" numFmtId="0" fontId="5" fillId="13" borderId="0" xfId="4" applyAlignment="1" applyBorder="1" applyFont="1" applyNumberFormat="1" applyFill="1" applyProtection="1">
      <alignment horizontal="left" vertical="center"/>
    </xf>
    <xf xxid="486" numFmtId="0" fontId="5" fillId="13" borderId="0" xfId="4" applyAlignment="1" applyBorder="1" applyFont="1" applyNumberFormat="1" applyFill="1" applyProtection="1">
      <alignment vertical="center"/>
    </xf>
    <xf xxid="487" numFmtId="0" fontId="5" fillId="13" borderId="0" xfId="4" applyAlignment="1" applyBorder="1" applyFont="1" applyNumberFormat="1" applyFill="1" applyProtection="1">
      <alignment vertical="center" wrapText="1"/>
    </xf>
    <xf xxid="488" numFmtId="0" fontId="29" fillId="13" borderId="0" xfId="8" applyAlignment="1" applyBorder="1" applyFont="1" applyNumberFormat="1" applyFill="1" applyProtection="1">
      <alignment horizontal="left" vertical="center"/>
    </xf>
    <xf xxid="489" numFmtId="0" fontId="2" fillId="13" borderId="0" xfId="8" applyAlignment="1" applyBorder="1" applyFont="1" applyNumberFormat="1" applyFill="1" applyProtection="1"/>
    <xf xxid="490" numFmtId="0" fontId="29" fillId="13" borderId="0" xfId="8" applyAlignment="1" applyBorder="1" applyFont="1" applyNumberFormat="1" applyFill="1" applyProtection="1">
      <alignment horizontal="center" vertical="center"/>
      <protection locked="0"/>
    </xf>
    <xf xxid="491" numFmtId="0" fontId="32" fillId="13" borderId="0" xfId="4" applyAlignment="1" applyBorder="1" applyFont="1" applyNumberFormat="1" applyFill="1" applyProtection="1">
      <protection locked="0"/>
    </xf>
    <xf xxid="492" numFmtId="0" fontId="5" fillId="13" borderId="0" xfId="4" applyAlignment="1" applyBorder="1" applyFont="1" applyNumberFormat="1" applyFill="1" applyProtection="1">
      <alignment horizontal="center"/>
      <protection locked="0"/>
    </xf>
    <xf xxid="493" numFmtId="0" fontId="5" fillId="13" borderId="0" xfId="4" applyAlignment="1" applyBorder="1" applyFont="1" applyNumberFormat="1" applyFill="1" applyProtection="1">
      <protection locked="0"/>
    </xf>
    <xf xxid="494" numFmtId="0" fontId="2" fillId="13" borderId="0" xfId="4" applyAlignment="1" applyBorder="1" applyFont="1" applyNumberFormat="1" applyFill="1" applyProtection="1">
      <protection locked="0"/>
    </xf>
    <xf xxid="495" numFmtId="0" fontId="2" fillId="13" borderId="0" xfId="4" applyAlignment="1" applyBorder="1" applyFont="1" applyNumberFormat="1" applyFill="1" applyProtection="1">
      <alignment horizontal="center"/>
      <protection locked="0"/>
    </xf>
    <xf xxid="496" numFmtId="0" fontId="5" fillId="13" borderId="0" xfId="0" applyAlignment="1" applyBorder="1" applyFont="1" applyNumberFormat="1" applyFill="1" applyProtection="1">
      <protection locked="0"/>
    </xf>
    <xf xxid="497" numFmtId="0" fontId="5" fillId="13" borderId="0" xfId="0" applyAlignment="1" applyBorder="1" applyFont="1" applyNumberFormat="1" applyFill="1" applyProtection="1">
      <alignment horizontal="center"/>
      <protection locked="0"/>
    </xf>
    <xf xxid="498" numFmtId="0" fontId="5" fillId="13" borderId="0" xfId="4" applyAlignment="1" applyBorder="1" applyFont="1" applyNumberFormat="1" applyFill="1" applyProtection="1">
      <alignment horizontal="left" vertical="top" wrapText="1"/>
      <protection locked="0"/>
    </xf>
    <xf xxid="499" numFmtId="49" fontId="5" fillId="13" borderId="0" xfId="4" applyAlignment="1" applyBorder="1" applyFont="1" applyNumberFormat="1" applyFill="1" applyProtection="1">
      <alignment horizontal="center"/>
      <protection locked="0"/>
    </xf>
    <xf xxid="500" numFmtId="0" fontId="5" fillId="13" borderId="0" xfId="4" applyAlignment="1" applyBorder="1" applyFont="1" applyNumberFormat="1" applyFill="1" applyProtection="1">
      <alignment vertical="center"/>
      <protection locked="0"/>
    </xf>
    <xf xxid="501" numFmtId="0" fontId="15" fillId="13" borderId="0" xfId="0" applyAlignment="1" applyBorder="1" applyFont="1" applyNumberFormat="1" applyFill="1" applyProtection="1">
      <protection locked="0"/>
    </xf>
    <xf xxid="502" numFmtId="0" fontId="5" fillId="13" borderId="0" xfId="4" applyAlignment="1" applyBorder="1" applyFont="1" applyNumberFormat="1" applyFill="1" applyProtection="1"/>
    <xf xxid="503" numFmtId="0" fontId="32" fillId="13" borderId="0" xfId="4" applyAlignment="1" applyBorder="1" applyFont="1" applyNumberFormat="1" applyFill="1" applyProtection="1"/>
    <xf xxid="504" numFmtId="0" fontId="5" fillId="14" borderId="0" xfId="4" applyAlignment="1" applyBorder="1" applyFont="1" applyNumberFormat="1" applyFill="1" applyProtection="1">
      <protection locked="0"/>
    </xf>
    <xf xxid="505" numFmtId="0" fontId="32" fillId="14" borderId="0" xfId="4" applyAlignment="1" applyBorder="1" applyFont="1" applyNumberFormat="1" applyFill="1" applyProtection="1">
      <protection locked="0"/>
    </xf>
    <xf xxid="506" numFmtId="0" fontId="61" fillId="14" borderId="0" xfId="4" applyAlignment="1" applyBorder="1" applyFont="1" applyNumberFormat="1" applyFill="1" applyProtection="1">
      <alignment horizontal="center"/>
      <protection locked="0"/>
    </xf>
    <xf xxid="507" numFmtId="0" fontId="5" fillId="14" borderId="0" xfId="4" applyAlignment="1" applyBorder="1" applyFont="1" applyNumberFormat="1" applyFill="1" applyProtection="1">
      <alignment horizontal="center"/>
      <protection locked="0"/>
    </xf>
    <xf xxid="508" numFmtId="0" fontId="5" fillId="14" borderId="0" xfId="4" applyAlignment="1" applyBorder="1" applyFont="1" applyNumberFormat="1" applyFill="1" applyProtection="1">
      <alignment horizontal="left"/>
      <protection locked="0"/>
    </xf>
    <xf xxid="509" numFmtId="0" fontId="5" fillId="14" borderId="0" xfId="4" applyAlignment="1" applyBorder="1" applyFont="1" applyNumberFormat="1" applyFill="1" applyProtection="1">
      <alignment horizontal="left" vertical="top" wrapText="1"/>
      <protection locked="0"/>
    </xf>
    <xf xxid="510" numFmtId="0" fontId="5" fillId="14" borderId="0" xfId="4" applyAlignment="1" applyBorder="1" applyFont="1" applyNumberFormat="1" applyFill="1" applyProtection="1">
      <alignment horizontal="left" vertical="top"/>
      <protection locked="0"/>
    </xf>
    <xf xxid="511" numFmtId="0" fontId="5" fillId="14" borderId="0" xfId="0" applyAlignment="1" applyBorder="1" applyFont="1" applyNumberFormat="1" applyFill="1" applyProtection="1">
      <protection locked="0"/>
    </xf>
    <xf xxid="512" numFmtId="0" fontId="32" fillId="14" borderId="0" xfId="4" applyAlignment="1" applyBorder="1" applyFont="1" applyNumberFormat="1" applyFill="1" applyProtection="1">
      <alignment horizontal="center"/>
      <protection locked="0"/>
    </xf>
    <xf xxid="513" numFmtId="0" fontId="2" fillId="14" borderId="0" xfId="4" applyAlignment="1" applyBorder="1" applyFont="1" applyNumberFormat="1" applyFill="1" applyProtection="1">
      <protection locked="0"/>
    </xf>
    <xf xxid="514" numFmtId="0" fontId="5" fillId="14" borderId="42" xfId="4" applyAlignment="1" applyBorder="1" applyFont="1" applyNumberFormat="1" applyFill="1" applyProtection="1">
      <alignment horizontal="center" vertical="center"/>
      <protection locked="0"/>
    </xf>
    <xf xxid="515" numFmtId="0" fontId="5" fillId="14" borderId="39" xfId="4" applyAlignment="1" applyBorder="1" applyFont="1" applyNumberFormat="1" applyFill="1" applyProtection="1">
      <alignment horizontal="center"/>
      <protection locked="0"/>
    </xf>
    <xf xxid="516" numFmtId="0" fontId="5" fillId="14" borderId="43" xfId="4" applyAlignment="1" applyBorder="1" applyFont="1" applyNumberFormat="1" applyFill="1" applyProtection="1">
      <alignment horizontal="center"/>
      <protection locked="0"/>
    </xf>
    <xf xxid="517" numFmtId="0" fontId="32" fillId="14" borderId="0" xfId="0" applyAlignment="1" applyBorder="1" applyFont="1" applyNumberFormat="1" applyFill="1" applyProtection="1">
      <alignment horizontal="center"/>
      <protection locked="0"/>
    </xf>
    <xf xxid="518" numFmtId="0" fontId="32" fillId="14" borderId="0" xfId="0" applyAlignment="1" applyBorder="1" applyFont="1" applyNumberFormat="1" applyFill="1" applyProtection="1">
      <protection locked="0"/>
    </xf>
    <xf xxid="519" numFmtId="0" fontId="5" fillId="14" borderId="0" xfId="0" applyAlignment="1" applyBorder="1" applyFont="1" applyNumberFormat="1" applyFill="1" applyProtection="1">
      <alignment horizontal="center"/>
      <protection locked="0"/>
    </xf>
    <xf xxid="520" numFmtId="0" fontId="5" fillId="14" borderId="0" xfId="0" applyAlignment="1" applyBorder="1" applyFont="1" applyNumberFormat="1" applyFill="1" applyProtection="1">
      <alignment horizontal="center" vertical="center" wrapText="1"/>
      <protection locked="0"/>
    </xf>
    <xf xxid="521" numFmtId="0" fontId="5" fillId="14" borderId="44" xfId="0" applyAlignment="1" applyBorder="1" applyFont="1" applyNumberFormat="1" applyFill="1" applyProtection="1">
      <protection locked="0"/>
    </xf>
    <xf xxid="522" numFmtId="0" fontId="5" fillId="14" borderId="45" xfId="0" applyAlignment="1" applyBorder="1" applyFont="1" applyNumberFormat="1" applyFill="1" applyProtection="1">
      <protection locked="0"/>
    </xf>
    <xf xxid="523" numFmtId="0" fontId="5" fillId="14" borderId="46" xfId="0" applyAlignment="1" applyBorder="1" applyFont="1" applyNumberFormat="1" applyFill="1" applyProtection="1">
      <protection locked="0"/>
    </xf>
    <xf xxid="524" numFmtId="0" fontId="5" fillId="14" borderId="47" xfId="0" applyAlignment="1" applyBorder="1" applyFont="1" applyNumberFormat="1" applyFill="1" applyProtection="1">
      <protection locked="0"/>
    </xf>
    <xf xxid="525" numFmtId="0" fontId="5" fillId="14" borderId="48" xfId="0" applyAlignment="1" applyBorder="1" applyFont="1" applyNumberFormat="1" applyFill="1" applyProtection="1">
      <protection locked="0"/>
    </xf>
    <xf xxid="526" numFmtId="0" fontId="5" fillId="14" borderId="49" xfId="0" applyAlignment="1" applyBorder="1" applyFont="1" applyNumberFormat="1" applyFill="1" applyProtection="1">
      <protection locked="0"/>
    </xf>
    <xf xxid="527" numFmtId="0" fontId="5" fillId="14" borderId="0" xfId="0" applyAlignment="1" applyBorder="1" applyFont="1" applyNumberFormat="1" applyFill="1" applyProtection="1">
      <protection hidden="1"/>
    </xf>
    <xf xxid="528" numFmtId="0" fontId="5" fillId="14" borderId="0" xfId="0" applyAlignment="1" applyBorder="1" applyFont="1" applyNumberFormat="1" applyFill="1" applyProtection="1">
      <alignment horizontal="left"/>
      <protection locked="0"/>
    </xf>
    <xf xxid="529" numFmtId="170" fontId="2" fillId="14" borderId="0" xfId="0" applyAlignment="1" applyBorder="1" applyFont="1" applyNumberFormat="1" applyFill="1" applyProtection="1">
      <alignment horizontal="center"/>
      <protection locked="0"/>
    </xf>
    <xf xxid="530" numFmtId="0" fontId="5" fillId="14" borderId="0" xfId="0" applyAlignment="1" applyBorder="1" applyFont="1" applyNumberFormat="1" applyFill="1" applyProtection="1">
      <alignment horizontal="left" vertical="top" wrapText="1"/>
      <protection locked="0"/>
    </xf>
    <xf xxid="531" numFmtId="0" fontId="5" fillId="14" borderId="0" xfId="0" applyAlignment="1" applyBorder="1" applyFont="1" applyNumberFormat="1" applyFill="1" applyProtection="1">
      <alignment horizontal="left" vertical="top" wrapText="1"/>
      <protection hidden="1"/>
    </xf>
    <xf xxid="532" numFmtId="0" fontId="5" fillId="14" borderId="0" xfId="0" applyAlignment="1" applyBorder="1" applyFont="1" applyNumberFormat="1" applyFill="1" applyProtection="1">
      <alignment horizontal="left" vertical="center"/>
      <protection locked="0"/>
    </xf>
    <xf xxid="533" numFmtId="0" fontId="2" fillId="14" borderId="0" xfId="0" applyAlignment="1" applyBorder="1" applyFont="1" applyNumberFormat="1" applyFill="1" applyProtection="1">
      <alignment horizontal="left"/>
      <protection locked="0"/>
    </xf>
    <xf xxid="534" numFmtId="0" fontId="5" fillId="14" borderId="0" xfId="0" applyAlignment="1" applyBorder="1" applyFont="1" applyNumberFormat="1" applyFill="1" applyProtection="1">
      <alignment horizontal="right"/>
      <protection locked="0"/>
    </xf>
    <xf xxid="535" numFmtId="0" fontId="5" fillId="14" borderId="0" xfId="0" applyAlignment="1" applyBorder="1" applyFont="1" applyNumberFormat="1" applyFill="1" applyProtection="1">
      <alignment horizontal="right"/>
      <protection hidden="1"/>
    </xf>
    <xf xxid="536" numFmtId="169" fontId="5" fillId="14" borderId="0" xfId="1" applyAlignment="1" applyBorder="1" applyFont="1" applyNumberFormat="1" applyFill="1" applyProtection="1">
      <protection locked="0"/>
    </xf>
    <xf xxid="537" numFmtId="169" fontId="5" fillId="14" borderId="0" xfId="1" applyAlignment="1" applyBorder="1" applyFont="1" applyNumberFormat="1" applyFill="1" applyProtection="1">
      <protection hidden="1"/>
    </xf>
    <xf xxid="538" numFmtId="0" fontId="17" fillId="14" borderId="0" xfId="4" applyAlignment="1" applyBorder="1" applyFont="1" applyNumberFormat="1" applyFill="1" applyProtection="1">
      <protection locked="0"/>
    </xf>
    <xf xxid="539" numFmtId="170" fontId="2" fillId="14" borderId="0" xfId="4" applyAlignment="1" applyBorder="1" applyFont="1" applyNumberFormat="1" applyFill="1" applyProtection="1">
      <alignment horizontal="right"/>
      <protection locked="0"/>
    </xf>
    <xf xxid="540" numFmtId="0" fontId="5" fillId="14" borderId="0" xfId="4" applyAlignment="1" applyBorder="1" applyFont="1" applyNumberFormat="1" applyFill="1" applyProtection="1">
      <alignment horizontal="center" vertical="top"/>
      <protection locked="0"/>
    </xf>
    <xf xxid="541" numFmtId="0" fontId="5" fillId="14" borderId="50" xfId="4" applyAlignment="1" applyBorder="1" applyFont="1" applyNumberFormat="1" applyFill="1" applyProtection="1">
      <protection locked="0"/>
    </xf>
    <xf xxid="542" numFmtId="0" fontId="73" fillId="12" borderId="0" xfId="4" applyAlignment="1" applyBorder="1" applyFont="1" applyNumberFormat="1" applyFill="1" applyProtection="1">
      <protection locked="0"/>
    </xf>
    <xf xxid="543" numFmtId="0" fontId="75" fillId="12" borderId="0" xfId="4" applyAlignment="1" applyBorder="1" applyFont="1" applyNumberFormat="1" applyFill="1" applyProtection="1">
      <protection locked="0"/>
    </xf>
    <xf xxid="544" numFmtId="0" fontId="75" fillId="0" borderId="0" xfId="4" applyAlignment="1" applyBorder="1" applyFont="1" applyNumberFormat="1" applyFill="1" applyProtection="1">
      <protection locked="0"/>
    </xf>
    <xf xxid="545" numFmtId="0" fontId="73" fillId="12" borderId="0" xfId="0" applyAlignment="1" applyBorder="1" applyFont="1" applyNumberFormat="1" applyFill="1" applyProtection="1">
      <protection locked="0"/>
    </xf>
    <xf xxid="546" numFmtId="0" fontId="75" fillId="12" borderId="0" xfId="0" applyAlignment="1" applyBorder="1" applyFont="1" applyNumberFormat="1" applyFill="1" applyProtection="1">
      <protection locked="0"/>
    </xf>
    <xf xxid="547" numFmtId="0" fontId="76" fillId="0" borderId="0" xfId="4" applyAlignment="1" applyBorder="1" applyFont="1" applyNumberFormat="1" applyFill="1" applyProtection="1">
      <protection locked="0"/>
    </xf>
    <xf xxid="548" numFmtId="0" fontId="77" fillId="0" borderId="0" xfId="4" applyAlignment="1" applyBorder="1" applyFont="1" applyNumberFormat="1" applyFill="1" applyProtection="1">
      <protection locked="0"/>
    </xf>
    <xf xxid="549" numFmtId="0" fontId="76" fillId="12" borderId="0" xfId="4" applyAlignment="1" applyBorder="1" applyFont="1" applyNumberFormat="1" applyFill="1" applyProtection="1">
      <protection locked="0"/>
    </xf>
    <xf xxid="550" numFmtId="0" fontId="78" fillId="12" borderId="0" xfId="0" applyAlignment="1" applyBorder="1" applyFont="1" applyNumberFormat="1" applyFill="1" applyProtection="1">
      <alignment horizontal="right" vertical="center"/>
    </xf>
    <xf xxid="551" numFmtId="0" fontId="78" fillId="12" borderId="0" xfId="0" applyAlignment="1" applyBorder="1" applyFont="1" applyNumberFormat="1" applyFill="1" applyProtection="1">
      <alignment vertical="center"/>
    </xf>
    <xf xxid="552" numFmtId="0" fontId="75" fillId="12" borderId="0" xfId="0" applyAlignment="1" applyBorder="1" applyFont="1" applyNumberFormat="1" applyFill="1" applyProtection="1">
      <alignment vertical="center"/>
    </xf>
    <xf xxid="553" numFmtId="0" fontId="2" fillId="14" borderId="0" xfId="3" applyAlignment="1" applyBorder="1" applyFont="1" applyNumberFormat="1" applyFill="1" applyProtection="1">
      <protection locked="0"/>
    </xf>
    <xf xxid="554" numFmtId="0" fontId="1" fillId="14" borderId="0" xfId="13" applyAlignment="1" applyBorder="1" applyFont="1" applyNumberFormat="1" applyFill="1" applyProtection="1"/>
    <xf xxid="555" numFmtId="0" fontId="5" fillId="14" borderId="51" xfId="0" applyAlignment="1" applyBorder="1" applyFont="1" applyNumberFormat="1" applyFill="1" applyProtection="1">
      <alignment horizontal="center" vertical="center" wrapText="1"/>
    </xf>
    <xf xxid="556" numFmtId="0" fontId="0" fillId="14" borderId="52" xfId="0" applyAlignment="1" applyBorder="1" applyFont="1" applyNumberFormat="1" applyFill="1" applyProtection="1">
      <alignment horizontal="center"/>
    </xf>
    <xf xxid="557" numFmtId="0" fontId="0" fillId="14" borderId="52" xfId="0" applyAlignment="1" applyBorder="1" applyFont="1" applyNumberFormat="1" applyFill="1" applyProtection="1"/>
    <xf xxid="558" numFmtId="169" fontId="5" fillId="14" borderId="53" xfId="6" applyAlignment="1" applyBorder="1" applyFont="1" applyNumberFormat="1" applyFill="1" applyProtection="1">
      <alignment horizontal="center" vertical="center" wrapText="1"/>
    </xf>
    <xf xxid="559" numFmtId="0" fontId="0" fillId="14" borderId="54" xfId="0" applyAlignment="1" applyBorder="1" applyFont="1" applyNumberFormat="1" applyFill="1" applyProtection="1"/>
    <xf xxid="560" numFmtId="0" fontId="0" fillId="14" borderId="48" xfId="0" applyAlignment="1" applyBorder="1" applyFont="1" applyNumberFormat="1" applyFill="1" applyProtection="1"/>
    <xf xxid="561" numFmtId="0" fontId="0" fillId="14" borderId="55" xfId="0" applyAlignment="1" applyBorder="1" applyFont="1" applyNumberFormat="1" applyFill="1" applyProtection="1">
      <alignment horizontal="center"/>
    </xf>
    <xf xxid="562" numFmtId="0" fontId="0" fillId="14" borderId="55" xfId="0" applyAlignment="1" applyBorder="1" applyFont="1" applyNumberFormat="1" applyFill="1" applyProtection="1"/>
    <xf xxid="563" numFmtId="175" fontId="0" fillId="14" borderId="56" xfId="1" applyAlignment="1" applyBorder="1" applyFont="1" applyNumberFormat="1" applyFill="1" applyProtection="1"/>
    <xf xxid="564" numFmtId="0" fontId="0" fillId="14" borderId="0" xfId="0" applyAlignment="1" applyBorder="1" applyFont="1" applyNumberFormat="1" applyFill="1" applyProtection="1">
      <alignment horizontal="center"/>
    </xf>
    <xf xxid="565" numFmtId="0" fontId="0" fillId="14" borderId="0" xfId="0" applyAlignment="1" applyBorder="1" applyFont="1" applyNumberFormat="1" applyFill="1" applyProtection="1"/>
    <xf xxid="566" numFmtId="175" fontId="0" fillId="14" borderId="0" xfId="1" applyAlignment="1" applyBorder="1" applyFont="1" applyNumberFormat="1" applyFill="1" applyProtection="1"/>
    <xf xxid="567" numFmtId="0" fontId="1" fillId="14" borderId="0" xfId="13" applyAlignment="1" applyBorder="1" applyFont="1" applyNumberFormat="1" applyFill="1" applyProtection="1">
      <alignment horizontal="right" vertical="center"/>
    </xf>
    <xf xxid="568" numFmtId="0" fontId="5" fillId="14" borderId="50" xfId="0" applyAlignment="1" applyBorder="1" applyFont="1" applyNumberFormat="1" applyFill="1" applyProtection="1">
      <alignment horizontal="right" vertical="center"/>
    </xf>
    <xf xxid="569" numFmtId="167" fontId="44" fillId="14" borderId="0" xfId="0" applyAlignment="1" applyBorder="1" applyFont="1" applyNumberFormat="1" applyFill="1" applyProtection="1">
      <alignment horizontal="right" vertical="center"/>
    </xf>
    <xf xxid="570" numFmtId="175" fontId="1" fillId="14" borderId="0" xfId="1" applyAlignment="1" applyBorder="1" applyFont="1" applyNumberFormat="1" applyFill="1" applyProtection="1"/>
    <xf xxid="571" numFmtId="0" fontId="0" fillId="14" borderId="56" xfId="0" applyAlignment="1" applyBorder="1" applyFont="1" applyNumberFormat="1" applyFill="1" applyProtection="1"/>
    <xf xxid="572" numFmtId="0" fontId="5" fillId="14" borderId="57" xfId="0" applyAlignment="1" applyBorder="1" applyFont="1" applyNumberFormat="1" applyFill="1" applyProtection="1">
      <alignment horizontal="center" vertical="center" wrapText="1"/>
    </xf>
    <xf xxid="573" numFmtId="0" fontId="0" fillId="14" borderId="42" xfId="0" applyAlignment="1" applyBorder="1" applyFont="1" applyNumberFormat="1" applyFill="1" applyProtection="1"/>
    <xf xxid="574" numFmtId="0" fontId="0" fillId="14" borderId="44" xfId="0" applyAlignment="1" applyBorder="1" applyFont="1" applyNumberFormat="1" applyFill="1" applyProtection="1"/>
    <xf xxid="575" numFmtId="0" fontId="0" fillId="14" borderId="46" xfId="0" applyAlignment="1" applyBorder="1" applyFont="1" applyNumberFormat="1" applyFill="1" applyProtection="1"/>
    <xf xxid="576" numFmtId="0" fontId="0" fillId="14" borderId="43" xfId="0" applyAlignment="1" applyBorder="1" applyFont="1" applyNumberFormat="1" applyFill="1" applyProtection="1"/>
    <xf xxid="577" numFmtId="0" fontId="0" fillId="14" borderId="47" xfId="0" applyAlignment="1" applyBorder="1" applyFont="1" applyNumberFormat="1" applyFill="1" applyProtection="1"/>
    <xf xxid="578" numFmtId="0" fontId="0" fillId="14" borderId="49" xfId="0" applyAlignment="1" applyBorder="1" applyFont="1" applyNumberFormat="1" applyFill="1" applyProtection="1"/>
    <xf xxid="579" numFmtId="175" fontId="0" fillId="14" borderId="55" xfId="1" applyAlignment="1" applyBorder="1" applyFont="1" applyNumberFormat="1" applyFill="1" applyProtection="1"/>
    <xf xxid="580" numFmtId="175" fontId="44" fillId="14" borderId="0" xfId="1" applyAlignment="1" applyBorder="1" applyFont="1" applyNumberFormat="1" applyFill="1" applyProtection="1">
      <alignment horizontal="right" vertical="center"/>
    </xf>
    <xf xxid="581" numFmtId="0" fontId="5" fillId="14" borderId="0" xfId="0" applyAlignment="1" applyBorder="1" applyFont="1" applyNumberFormat="1" applyFill="1" applyProtection="1">
      <alignment horizontal="right" vertical="center"/>
    </xf>
    <xf xxid="582" numFmtId="167" fontId="5" fillId="14" borderId="0" xfId="0" applyAlignment="1" applyBorder="1" applyFont="1" applyNumberFormat="1" applyFill="1" applyProtection="1">
      <alignment horizontal="right" vertical="center"/>
      <protection hidden="1"/>
    </xf>
    <xf xxid="583" numFmtId="0" fontId="44" fillId="14" borderId="0" xfId="0" applyAlignment="1" applyBorder="1" applyFont="1" applyNumberFormat="1" applyFill="1" applyProtection="1">
      <alignment horizontal="center"/>
    </xf>
    <xf xxid="584" numFmtId="0" fontId="5" fillId="14" borderId="0" xfId="0" applyAlignment="1" applyBorder="1" applyFont="1" applyNumberFormat="1" applyFill="1" applyProtection="1">
      <alignment horizontal="center" vertical="center" wrapText="1"/>
    </xf>
    <xf xxid="585" numFmtId="0" fontId="5" fillId="14" borderId="51" xfId="3" applyAlignment="1" applyBorder="1" applyFont="1" applyNumberFormat="1" applyFill="1" applyProtection="1">
      <alignment horizontal="center" vertical="center" wrapText="1"/>
      <protection locked="0"/>
    </xf>
    <xf xxid="586" numFmtId="0" fontId="5" fillId="14" borderId="58" xfId="3" applyAlignment="1" applyBorder="1" applyFont="1" applyNumberFormat="1" applyFill="1" applyProtection="1">
      <alignment horizontal="center" vertical="center" wrapText="1"/>
      <protection locked="0"/>
    </xf>
    <xf xxid="587" numFmtId="0" fontId="2" fillId="14" borderId="44" xfId="3" applyAlignment="1" applyBorder="1" applyFont="1" applyNumberFormat="1" applyFill="1" applyProtection="1">
      <protection locked="0"/>
    </xf>
    <xf xxid="588" numFmtId="0" fontId="2" fillId="14" borderId="45" xfId="3" applyAlignment="1" applyBorder="1" applyFont="1" applyNumberFormat="1" applyFill="1" applyProtection="1">
      <protection locked="0"/>
    </xf>
    <xf xxid="589" numFmtId="0" fontId="0" fillId="14" borderId="44" xfId="0" applyAlignment="1" applyBorder="1" applyFont="1" applyNumberFormat="1" applyFill="1" applyProtection="1">
      <alignment horizontal="center"/>
    </xf>
    <xf xxid="590" numFmtId="0" fontId="2" fillId="14" borderId="19" xfId="3" applyAlignment="1" applyBorder="1" applyFont="1" applyNumberFormat="1" applyFill="1" applyProtection="1">
      <protection locked="0"/>
    </xf>
    <xf xxid="591" numFmtId="0" fontId="2" fillId="14" borderId="47" xfId="3" applyAlignment="1" applyBorder="1" applyFont="1" applyNumberFormat="1" applyFill="1" applyProtection="1">
      <protection locked="0"/>
    </xf>
    <xf xxid="592" numFmtId="0" fontId="2" fillId="14" borderId="48" xfId="3" applyAlignment="1" applyBorder="1" applyFont="1" applyNumberFormat="1" applyFill="1" applyProtection="1">
      <protection locked="0"/>
    </xf>
    <xf xxid="593" numFmtId="0" fontId="5" fillId="14" borderId="47" xfId="3" applyAlignment="1" applyBorder="1" applyFont="1" applyNumberFormat="1" applyFill="1" applyProtection="1">
      <protection locked="0"/>
    </xf>
    <xf xxid="594" numFmtId="169" fontId="5" fillId="14" borderId="0" xfId="3" applyAlignment="1" applyBorder="1" applyFont="1" applyNumberFormat="1" applyFill="1" applyProtection="1">
      <alignment horizontal="center"/>
      <protection locked="0"/>
    </xf>
    <xf xxid="595" numFmtId="0" fontId="5" fillId="14" borderId="0" xfId="3" applyAlignment="1" applyBorder="1" applyFont="1" applyNumberFormat="1" applyFill="1" applyProtection="1">
      <protection locked="0"/>
    </xf>
    <xf xxid="596" numFmtId="0" fontId="2" fillId="14" borderId="46" xfId="3" applyAlignment="1" applyBorder="1" applyFont="1" applyNumberFormat="1" applyFill="1" applyProtection="1">
      <alignment horizontal="center"/>
      <protection locked="0"/>
    </xf>
    <xf xxid="597" numFmtId="0" fontId="2" fillId="14" borderId="16" xfId="3" applyAlignment="1" applyBorder="1" applyFont="1" applyNumberFormat="1" applyFill="1" applyProtection="1">
      <alignment horizontal="center"/>
      <protection locked="0"/>
    </xf>
    <xf xxid="598" numFmtId="0" fontId="5" fillId="14" borderId="49" xfId="3" applyAlignment="1" applyBorder="1" applyFont="1" applyNumberFormat="1" applyFill="1" applyProtection="1">
      <alignment horizontal="center"/>
      <protection locked="0"/>
    </xf>
    <xf xxid="599" numFmtId="0" fontId="2" fillId="14" borderId="49" xfId="3" applyAlignment="1" applyBorder="1" applyFont="1" applyNumberFormat="1" applyFill="1" applyProtection="1">
      <protection locked="0"/>
    </xf>
    <xf xxid="600" numFmtId="0" fontId="5" fillId="14" borderId="55" xfId="3" applyAlignment="1" applyBorder="1" applyFont="1" applyNumberFormat="1" applyFill="1" applyProtection="1">
      <alignment horizontal="center"/>
      <protection locked="0"/>
    </xf>
    <xf xxid="601" numFmtId="0" fontId="5" fillId="14" borderId="0" xfId="3" applyAlignment="1" applyBorder="1" applyFont="1" applyNumberFormat="1" applyFill="1" applyProtection="1">
      <alignment horizontal="left"/>
      <protection locked="0"/>
    </xf>
    <xf xxid="602" numFmtId="0" fontId="78" fillId="12" borderId="0" xfId="0" applyAlignment="1" applyBorder="1" applyFont="1" applyNumberFormat="1" applyFill="1" applyProtection="1">
      <alignment horizontal="left" vertical="center"/>
    </xf>
    <xf xxid="603" numFmtId="0" fontId="2" fillId="13" borderId="0" xfId="4" applyAlignment="1" applyBorder="1" applyFont="1" applyNumberFormat="1" applyFill="1" applyProtection="1">
      <protection hidden="1"/>
    </xf>
    <xf xxid="604" numFmtId="169" fontId="2" fillId="0" borderId="35" xfId="4" applyAlignment="1" applyBorder="1" applyFont="1" applyNumberFormat="1" applyFill="1" applyProtection="1">
      <protection hidden="1"/>
    </xf>
    <xf xxid="605" numFmtId="0" fontId="2" fillId="5" borderId="55" xfId="4" applyAlignment="1" applyBorder="1" applyFont="1" applyNumberFormat="1" applyFill="1" applyProtection="1">
      <alignment horizontal="center"/>
      <protection locked="0"/>
    </xf>
    <xf xxid="606" numFmtId="0" fontId="5" fillId="13" borderId="0" xfId="4" applyAlignment="1" applyBorder="1" applyFont="1" applyNumberFormat="1" applyFill="1" applyProtection="1">
      <protection hidden="1"/>
    </xf>
    <xf xxid="607" numFmtId="0" fontId="6" fillId="15" borderId="7" xfId="0" applyAlignment="1" applyBorder="1" applyFont="1" applyNumberFormat="1" applyFill="1" applyProtection="1">
      <alignment horizontal="center" vertical="center"/>
    </xf>
    <xf xxid="608" numFmtId="169" fontId="17" fillId="16" borderId="12" xfId="0" applyAlignment="1" applyBorder="1" applyFont="1" applyNumberFormat="1" applyFill="1" applyProtection="1">
      <alignment vertical="center"/>
    </xf>
    <xf xxid="609" numFmtId="169" fontId="17" fillId="16" borderId="12" xfId="0" applyAlignment="1" applyBorder="1" applyFont="1" applyNumberFormat="1" applyFill="1" applyProtection="1"/>
    <xf xxid="610" numFmtId="0" fontId="24" fillId="16" borderId="9" xfId="0" applyAlignment="1" applyBorder="1" applyFont="1" applyNumberFormat="1" applyFill="1" applyProtection="1">
      <alignment horizontal="center" vertical="center"/>
    </xf>
    <xf xxid="611" numFmtId="0" fontId="24" fillId="16" borderId="9" xfId="0" applyAlignment="1" applyBorder="1" applyFont="1" applyNumberFormat="1" applyFill="1" applyProtection="1">
      <alignment vertical="center"/>
    </xf>
    <xf xxid="612" numFmtId="0" fontId="22" fillId="16" borderId="0" xfId="0" applyAlignment="1" applyBorder="1" applyFont="1" applyNumberFormat="1" applyFill="1" applyProtection="1">
      <alignment horizontal="center" vertical="center"/>
    </xf>
    <xf xxid="613" numFmtId="0" fontId="0" fillId="16" borderId="0" xfId="0" applyAlignment="1" applyBorder="1" applyFont="1" applyNumberFormat="1" applyFill="1" applyProtection="1">
      <alignment horizontal="center" vertical="center"/>
    </xf>
    <xf xxid="614" numFmtId="0" fontId="9" fillId="16" borderId="0" xfId="0" applyAlignment="1" applyBorder="1" applyFont="1" applyNumberFormat="1" applyFill="1" applyProtection="1">
      <alignment horizontal="center" vertical="center"/>
    </xf>
    <xf xxid="615" numFmtId="0" fontId="6" fillId="16" borderId="8" xfId="0" applyAlignment="1" applyBorder="1" applyFont="1" applyNumberFormat="1" applyFill="1" applyProtection="1">
      <alignment vertical="center"/>
    </xf>
    <xf xxid="616" numFmtId="0" fontId="9" fillId="16" borderId="8" xfId="0" applyAlignment="1" applyBorder="1" applyFont="1" applyNumberFormat="1" applyFill="1" applyProtection="1">
      <alignment vertical="center"/>
    </xf>
    <xf xxid="617" numFmtId="0" fontId="3" fillId="0" borderId="20" xfId="0" applyAlignment="1" applyBorder="1" applyFont="1" applyNumberFormat="1" applyFill="1" applyProtection="1">
      <alignment vertical="center"/>
    </xf>
    <xf xxid="618" numFmtId="169" fontId="17" fillId="0" borderId="10" xfId="0" applyAlignment="1" applyBorder="1" applyFont="1" applyNumberFormat="1" applyFill="1" applyProtection="1">
      <alignment vertical="center"/>
    </xf>
    <xf xxid="619" numFmtId="0" fontId="17" fillId="0" borderId="23" xfId="0" applyAlignment="1" applyBorder="1" applyFont="1" applyNumberFormat="1" applyFill="1" applyProtection="1">
      <alignment vertical="center"/>
    </xf>
    <xf xxid="620" numFmtId="0" fontId="17" fillId="0" borderId="10" xfId="0" applyAlignment="1" applyBorder="1" applyFont="1" applyNumberFormat="1" applyFill="1" applyProtection="1">
      <alignment vertical="center"/>
    </xf>
    <xf xxid="621" numFmtId="169" fontId="3" fillId="0" borderId="19" xfId="0" applyAlignment="1" applyBorder="1" applyFont="1" applyNumberFormat="1" applyFill="1" applyProtection="1">
      <alignment vertical="center"/>
    </xf>
    <xf xxid="622" numFmtId="169" fontId="3" fillId="0" borderId="8" xfId="0" applyAlignment="1" applyBorder="1" applyFont="1" applyNumberFormat="1" applyFill="1" applyProtection="1">
      <alignment vertical="center"/>
    </xf>
    <xf xxid="623" numFmtId="169" fontId="3" fillId="0" borderId="20" xfId="0" applyAlignment="1" applyBorder="1" applyFont="1" applyNumberFormat="1" applyFill="1" applyProtection="1">
      <alignment vertical="center"/>
    </xf>
    <xf xxid="624" numFmtId="183" fontId="2" fillId="0" borderId="0" xfId="0" applyAlignment="1" applyBorder="1" applyFont="1" applyNumberFormat="1" applyFill="1" applyProtection="1">
      <alignment horizontal="center" vertical="center" wrapText="1"/>
    </xf>
    <xf xxid="625" numFmtId="0" fontId="69" fillId="6" borderId="0" xfId="0" applyAlignment="1" applyBorder="1" applyFont="1" applyNumberFormat="1" applyFill="1" applyProtection="1">
      <protection hidden="1"/>
    </xf>
    <xf xxid="626" numFmtId="0" fontId="82" fillId="6" borderId="0" xfId="0" applyAlignment="1" applyBorder="1" applyFont="1" applyNumberFormat="1" applyFill="1" applyProtection="1">
      <alignment vertical="center"/>
      <protection hidden="1"/>
    </xf>
    <xf xxid="627" numFmtId="0" fontId="62" fillId="6" borderId="59" xfId="0" applyAlignment="1" applyBorder="1" applyFont="1" applyNumberFormat="1" applyFill="1" applyProtection="1">
      <alignment horizontal="center"/>
      <protection hidden="1"/>
    </xf>
    <xf xxid="628" numFmtId="0" fontId="62" fillId="6" borderId="10" xfId="0" applyAlignment="1" applyBorder="1" applyFont="1" applyNumberFormat="1" applyFill="1" applyProtection="1">
      <protection hidden="1"/>
    </xf>
    <xf xxid="629" numFmtId="0" fontId="62" fillId="6" borderId="5" xfId="0" applyAlignment="1" applyBorder="1" applyFont="1" applyNumberFormat="1" applyFill="1" applyProtection="1">
      <protection hidden="1"/>
    </xf>
    <xf xxid="630" numFmtId="0" fontId="65" fillId="6" borderId="60" xfId="0" applyAlignment="1" applyBorder="1" applyFont="1" applyNumberFormat="1" applyFill="1" applyProtection="1">
      <protection hidden="1"/>
    </xf>
    <xf xxid="631" numFmtId="0" fontId="62" fillId="6" borderId="61" xfId="0" applyAlignment="1" applyBorder="1" applyFont="1" applyNumberFormat="1" applyFill="1" applyProtection="1">
      <protection hidden="1"/>
    </xf>
    <xf xxid="632" numFmtId="0" fontId="62" fillId="6" borderId="62" xfId="0" applyAlignment="1" applyBorder="1" applyFont="1" applyNumberFormat="1" applyFill="1" applyProtection="1">
      <protection hidden="1"/>
    </xf>
    <xf xxid="633" numFmtId="0" fontId="62" fillId="6" borderId="63" xfId="0" applyAlignment="1" applyBorder="1" applyFont="1" applyNumberFormat="1" applyFill="1" applyProtection="1">
      <alignment wrapText="1"/>
      <protection hidden="1"/>
    </xf>
    <xf xxid="634" numFmtId="0" fontId="62" fillId="6" borderId="6" xfId="0" applyAlignment="1" applyBorder="1" applyFont="1" applyNumberFormat="1" applyFill="1" applyProtection="1">
      <alignment wrapText="1"/>
      <protection hidden="1"/>
    </xf>
    <xf xxid="635" numFmtId="0" fontId="62" fillId="6" borderId="10" xfId="0" applyAlignment="1" applyBorder="1" applyFont="1" applyNumberFormat="1" applyFill="1" applyProtection="1">
      <alignment wrapText="1"/>
      <protection hidden="1"/>
    </xf>
    <xf xxid="636" numFmtId="0" fontId="62" fillId="6" borderId="0" xfId="0" applyAlignment="1" applyBorder="1" applyFont="1" applyNumberFormat="1" applyFill="1" applyProtection="1">
      <alignment wrapText="1"/>
      <protection hidden="1"/>
    </xf>
    <xf xxid="637" numFmtId="169" fontId="62" fillId="6" borderId="12" xfId="19" applyAlignment="1" applyBorder="1" applyFont="1" applyNumberFormat="1" applyFill="1" applyProtection="1">
      <protection hidden="1"/>
    </xf>
    <xf xxid="638" numFmtId="0" fontId="62" fillId="6" borderId="19" xfId="0" applyAlignment="1" applyBorder="1" applyFont="1" applyNumberFormat="1" applyFill="1" applyProtection="1">
      <alignment wrapText="1"/>
      <protection hidden="1"/>
    </xf>
    <xf xxid="639" numFmtId="0" fontId="62" fillId="6" borderId="8" xfId="0" applyAlignment="1" applyBorder="1" applyFont="1" applyNumberFormat="1" applyFill="1" applyProtection="1">
      <alignment wrapText="1"/>
      <protection hidden="1"/>
    </xf>
    <xf xxid="640" numFmtId="169" fontId="62" fillId="6" borderId="20" xfId="19" applyAlignment="1" applyBorder="1" applyFont="1" applyNumberFormat="1" applyFill="1" applyProtection="1">
      <protection hidden="1"/>
    </xf>
    <xf xxid="641" numFmtId="0" fontId="62" fillId="6" borderId="64" xfId="0" applyAlignment="1" applyBorder="1" applyFont="1" applyNumberFormat="1" applyFill="1" applyProtection="1">
      <protection hidden="1"/>
    </xf>
    <xf xxid="642" numFmtId="169" fontId="65" fillId="6" borderId="65" xfId="19" applyAlignment="1" applyBorder="1" applyFont="1" applyNumberFormat="1" applyFill="1" applyProtection="1">
      <protection hidden="1"/>
    </xf>
    <xf xxid="643" numFmtId="0" fontId="62" fillId="6" borderId="8" xfId="0" applyAlignment="1" applyBorder="1" applyFont="1" applyNumberFormat="1" applyFill="1" applyProtection="1">
      <protection hidden="1"/>
    </xf>
    <xf xxid="644" numFmtId="0" fontId="62" fillId="6" borderId="6" xfId="0" applyAlignment="1" applyBorder="1" applyFont="1" applyNumberFormat="1" applyFill="1" applyProtection="1">
      <protection hidden="1"/>
    </xf>
    <xf xxid="645" numFmtId="0" fontId="62" fillId="17" borderId="0" xfId="0" applyAlignment="1" applyBorder="1" applyFont="1" applyNumberFormat="1" applyFill="1" applyProtection="1">
      <protection hidden="1"/>
    </xf>
    <xf xxid="646" numFmtId="0" fontId="63" fillId="17" borderId="0" xfId="0" applyAlignment="1" applyBorder="1" applyFont="1" applyNumberFormat="1" applyFill="1" applyProtection="1">
      <alignment horizontal="right"/>
      <protection hidden="1"/>
    </xf>
    <xf xxid="647" numFmtId="0" fontId="83" fillId="18" borderId="66" xfId="0" applyAlignment="1" applyBorder="1" applyFont="1" applyNumberFormat="1" applyFill="1" applyProtection="1">
      <alignment horizontal="center" vertical="center"/>
      <protection hidden="1"/>
    </xf>
    <xf xxid="648" numFmtId="0" fontId="84" fillId="18" borderId="67" xfId="0" applyAlignment="1" applyBorder="1" applyFont="1" applyNumberFormat="1" applyFill="1" applyProtection="1">
      <alignment horizontal="center" vertical="center"/>
      <protection hidden="1"/>
    </xf>
    <xf xxid="649" numFmtId="0" fontId="64" fillId="6" borderId="0" xfId="0" applyAlignment="1" applyBorder="1" applyFont="1" applyNumberFormat="1" applyFill="1" applyProtection="1">
      <alignment vertical="top"/>
      <protection hidden="1"/>
    </xf>
    <xf xxid="650" numFmtId="0" fontId="62" fillId="6" borderId="0" xfId="0" applyAlignment="1" applyBorder="1" applyFont="1" applyNumberFormat="1" applyFill="1" applyProtection="1">
      <alignment vertical="top"/>
      <protection hidden="1"/>
    </xf>
    <xf xxid="651" numFmtId="177" fontId="17" fillId="0" borderId="9" xfId="0" applyAlignment="1" applyBorder="1" applyFont="1" applyNumberFormat="1" applyFill="1" applyProtection="1">
      <alignment vertical="center"/>
    </xf>
    <xf xxid="652" numFmtId="177" fontId="17" fillId="0" borderId="0" xfId="0" applyAlignment="1" applyBorder="1" applyFont="1" applyNumberFormat="1" applyFill="1" applyProtection="1">
      <alignment vertical="center"/>
    </xf>
    <xf xxid="653" numFmtId="0" fontId="3" fillId="0" borderId="9" xfId="0" applyAlignment="1" applyBorder="1" applyFont="1" applyNumberFormat="1" applyFill="1" applyProtection="1">
      <alignment vertical="center"/>
    </xf>
    <xf xxid="654" numFmtId="0" fontId="3" fillId="0" borderId="22" xfId="0" applyAlignment="1" applyBorder="1" applyFont="1" applyNumberFormat="1" applyFill="1" applyProtection="1">
      <alignment vertical="center"/>
    </xf>
    <xf xxid="655" numFmtId="0" fontId="6" fillId="4" borderId="23" xfId="0" applyAlignment="1" applyBorder="1" applyFont="1" applyNumberFormat="1" applyFill="1" applyProtection="1"/>
    <xf xxid="656" numFmtId="0" fontId="6" fillId="4" borderId="10" xfId="0" applyAlignment="1" applyBorder="1" applyFont="1" applyNumberFormat="1" applyFill="1" applyProtection="1"/>
    <xf xxid="657" numFmtId="166" fontId="17" fillId="0" borderId="19" xfId="0" applyAlignment="1" applyBorder="1" applyFont="1" applyNumberFormat="1" applyFill="1" applyProtection="1">
      <alignment vertical="center"/>
    </xf>
    <xf xxid="658" numFmtId="166" fontId="17" fillId="0" borderId="8" xfId="0" applyAlignment="1" applyBorder="1" applyFont="1" applyNumberFormat="1" applyFill="1" applyProtection="1">
      <alignment vertical="center"/>
    </xf>
    <xf xxid="659" numFmtId="166" fontId="17" fillId="0" borderId="8" xfId="0" applyAlignment="1" applyBorder="1" applyFont="1" applyNumberFormat="1" applyFill="1" applyProtection="1"/>
    <xf xxid="660" numFmtId="169" fontId="17" fillId="0" borderId="8" xfId="0" applyAlignment="1" applyBorder="1" applyFont="1" applyNumberFormat="1" applyFill="1" applyProtection="1">
      <alignment horizontal="center"/>
    </xf>
    <xf xxid="661" numFmtId="169" fontId="17" fillId="0" borderId="8" xfId="0" applyAlignment="1" applyBorder="1" applyFont="1" applyNumberFormat="1" applyFill="1" applyProtection="1"/>
    <xf xxid="662" numFmtId="0" fontId="3" fillId="0" borderId="19" xfId="0" applyAlignment="1" applyBorder="1" applyFont="1" applyNumberFormat="1" applyFill="1" applyProtection="1">
      <alignment vertical="center"/>
    </xf>
    <xf xxid="663" numFmtId="0" fontId="17" fillId="0" borderId="9" xfId="0" applyAlignment="1" applyBorder="1" applyFont="1" applyNumberFormat="1" applyFill="1" applyProtection="1">
      <alignment vertical="center"/>
    </xf>
    <xf xxid="664" numFmtId="169" fontId="17" fillId="0" borderId="19" xfId="0" applyAlignment="1" applyBorder="1" applyFont="1" applyNumberFormat="1" applyFill="1" applyProtection="1">
      <alignment vertical="center"/>
    </xf>
    <xf xxid="665" numFmtId="169" fontId="17" fillId="0" borderId="8" xfId="0" applyAlignment="1" applyBorder="1" applyFont="1" applyNumberFormat="1" applyFill="1" applyProtection="1">
      <alignment vertical="center"/>
    </xf>
    <xf xxid="666" numFmtId="0" fontId="2" fillId="13" borderId="0" xfId="4" applyAlignment="1" applyBorder="1" applyFont="1" applyNumberFormat="1" applyFill="1" applyProtection="1"/>
    <xf xxid="667" numFmtId="0" fontId="5" fillId="13" borderId="0" xfId="4" applyAlignment="1" applyBorder="1" applyFont="1" applyNumberFormat="1" applyFill="1" applyProtection="1">
      <alignment horizontal="left"/>
    </xf>
    <xf xxid="668" numFmtId="0" fontId="2" fillId="13" borderId="0" xfId="4" applyAlignment="1" applyBorder="1" applyFont="1" applyNumberFormat="1" applyFill="1" applyProtection="1">
      <alignment horizontal="left"/>
    </xf>
    <xf xxid="669" numFmtId="0" fontId="2" fillId="6" borderId="0" xfId="16" applyAlignment="1" applyBorder="1" applyFont="1" applyNumberFormat="1" applyFill="1" applyProtection="1">
      <protection hidden="1"/>
    </xf>
    <xf xxid="670" numFmtId="0" fontId="62" fillId="6" borderId="0" xfId="16" applyAlignment="1" applyBorder="1" applyFont="1" applyNumberFormat="1" applyFill="1" applyProtection="1">
      <protection hidden="1"/>
    </xf>
    <xf xxid="671" numFmtId="0" fontId="62" fillId="6" borderId="61" xfId="16" applyAlignment="1" applyBorder="1" applyFont="1" applyNumberFormat="1" applyFill="1" applyProtection="1">
      <protection hidden="1"/>
    </xf>
    <xf xxid="672" numFmtId="0" fontId="62" fillId="6" borderId="8" xfId="16" applyAlignment="1" applyBorder="1" applyFont="1" applyNumberFormat="1" applyFill="1" applyProtection="1">
      <protection hidden="1"/>
    </xf>
    <xf xxid="673" numFmtId="0" fontId="62" fillId="6" borderId="8" xfId="16" applyAlignment="1" applyBorder="1" applyFont="1" applyNumberFormat="1" applyFill="1" applyProtection="1">
      <alignment wrapText="1"/>
      <protection hidden="1"/>
    </xf>
    <xf xxid="674" numFmtId="0" fontId="62" fillId="6" borderId="19" xfId="16" applyAlignment="1" applyBorder="1" applyFont="1" applyNumberFormat="1" applyFill="1" applyProtection="1">
      <alignment wrapText="1"/>
      <protection hidden="1"/>
    </xf>
    <xf xxid="675" numFmtId="0" fontId="62" fillId="6" borderId="59" xfId="16" applyAlignment="1" applyBorder="1" applyFont="1" applyNumberFormat="1" applyFill="1" applyProtection="1">
      <alignment horizontal="center"/>
      <protection hidden="1"/>
    </xf>
    <xf xxid="676" numFmtId="0" fontId="62" fillId="6" borderId="0" xfId="16" applyAlignment="1" applyBorder="1" applyFont="1" applyNumberFormat="1" applyFill="1" applyProtection="1">
      <alignment wrapText="1"/>
      <protection hidden="1"/>
    </xf>
    <xf xxid="677" numFmtId="0" fontId="62" fillId="6" borderId="10" xfId="16" applyAlignment="1" applyBorder="1" applyFont="1" applyNumberFormat="1" applyFill="1" applyProtection="1">
      <alignment wrapText="1"/>
      <protection hidden="1"/>
    </xf>
    <xf xxid="678" numFmtId="0" fontId="84" fillId="18" borderId="67" xfId="16" applyAlignment="1" applyBorder="1" applyFont="1" applyNumberFormat="1" applyFill="1" applyProtection="1">
      <alignment horizontal="center" vertical="center"/>
      <protection hidden="1"/>
    </xf>
    <xf xxid="679" numFmtId="0" fontId="62" fillId="6" borderId="62" xfId="16" applyAlignment="1" applyBorder="1" applyFont="1" applyNumberFormat="1" applyFill="1" applyProtection="1">
      <protection hidden="1"/>
    </xf>
    <xf xxid="680" numFmtId="0" fontId="82" fillId="6" borderId="0" xfId="16" applyAlignment="1" applyBorder="1" applyFont="1" applyNumberFormat="1" applyFill="1" applyProtection="1">
      <alignment vertical="center"/>
      <protection hidden="1"/>
    </xf>
    <xf xxid="681" numFmtId="0" fontId="62" fillId="6" borderId="0" xfId="16" applyAlignment="1" applyBorder="1" applyFont="1" applyNumberFormat="1" applyFill="1" applyProtection="1">
      <alignment vertical="center"/>
      <protection hidden="1"/>
    </xf>
    <xf xxid="682" numFmtId="0" fontId="62" fillId="0" borderId="0" xfId="16" applyAlignment="1" applyBorder="1" applyFont="1" applyNumberFormat="1" applyFill="1" applyProtection="1">
      <protection hidden="1"/>
    </xf>
    <xf xxid="683" numFmtId="0" fontId="68" fillId="6" borderId="0" xfId="16" applyAlignment="1" applyBorder="1" applyFont="1" applyNumberFormat="1" applyFill="1" applyProtection="1">
      <protection hidden="1"/>
    </xf>
    <xf xxid="684" numFmtId="0" fontId="5" fillId="6" borderId="0" xfId="16" applyAlignment="1" applyBorder="1" applyFont="1" applyNumberFormat="1" applyFill="1" applyProtection="1">
      <alignment vertical="center"/>
      <protection hidden="1"/>
    </xf>
    <xf xxid="685" numFmtId="0" fontId="2" fillId="6" borderId="0" xfId="16" applyAlignment="1" applyBorder="1" applyFont="1" applyNumberFormat="1" applyFill="1" applyProtection="1">
      <alignment vertical="center"/>
      <protection hidden="1"/>
    </xf>
    <xf xxid="686" numFmtId="0" fontId="39" fillId="6" borderId="0" xfId="16" applyAlignment="1" applyBorder="1" applyFont="1" applyNumberFormat="1" applyFill="1" applyProtection="1">
      <protection hidden="1"/>
    </xf>
    <xf xxid="687" numFmtId="0" fontId="60" fillId="6" borderId="0" xfId="16" applyAlignment="1" applyBorder="1" applyFont="1" applyNumberFormat="1" applyFill="1" applyProtection="1">
      <protection hidden="1"/>
    </xf>
    <xf xxid="688" numFmtId="0" fontId="2" fillId="6" borderId="0" xfId="16" applyAlignment="1" applyBorder="1" applyFont="1" applyNumberFormat="1" applyFill="1" applyProtection="1">
      <alignment horizontal="center"/>
      <protection hidden="1"/>
    </xf>
    <xf xxid="689" numFmtId="169" fontId="5" fillId="6" borderId="0" xfId="16" applyAlignment="1" applyBorder="1" applyFont="1" applyNumberFormat="1" applyFill="1" applyProtection="1">
      <alignment horizontal="center"/>
      <protection hidden="1"/>
    </xf>
    <xf xxid="690" numFmtId="0" fontId="5" fillId="6" borderId="0" xfId="16" applyAlignment="1" applyBorder="1" applyFont="1" applyNumberFormat="1" applyFill="1" applyProtection="1">
      <alignment horizontal="center"/>
      <protection hidden="1"/>
    </xf>
    <xf xxid="691" numFmtId="0" fontId="40" fillId="6" borderId="0" xfId="16" applyAlignment="1" applyBorder="1" applyFont="1" applyNumberFormat="1" applyFill="1" applyProtection="1">
      <protection hidden="1"/>
    </xf>
    <xf xxid="692" numFmtId="174" fontId="42" fillId="6" borderId="0" xfId="16" applyAlignment="1" applyBorder="1" applyFont="1" applyNumberFormat="1" applyFill="1" applyProtection="1">
      <alignment vertical="center" wrapText="1"/>
      <protection hidden="1"/>
    </xf>
    <xf xxid="693" numFmtId="174" fontId="40" fillId="6" borderId="0" xfId="16" applyAlignment="1" applyBorder="1" applyFont="1" applyNumberFormat="1" applyFill="1" applyProtection="1">
      <alignment horizontal="left" vertical="center" wrapText="1"/>
      <protection hidden="1"/>
    </xf>
    <xf xxid="694" numFmtId="0" fontId="50" fillId="6" borderId="0" xfId="16" applyAlignment="1" applyBorder="1" applyFont="1" applyNumberFormat="1" applyFill="1" applyProtection="1">
      <alignment vertical="center"/>
      <protection hidden="1"/>
    </xf>
    <xf xxid="695" numFmtId="0" fontId="50" fillId="6" borderId="0" xfId="16" applyAlignment="1" applyBorder="1" applyFont="1" applyNumberFormat="1" applyFill="1" applyProtection="1">
      <protection hidden="1"/>
    </xf>
    <xf xxid="696" numFmtId="0" fontId="5" fillId="6" borderId="0" xfId="16" applyAlignment="1" applyBorder="1" applyFont="1" applyNumberFormat="1" applyFill="1" applyProtection="1">
      <protection hidden="1"/>
    </xf>
    <xf xxid="697" numFmtId="168" fontId="2" fillId="6" borderId="0" xfId="16" applyAlignment="1" applyBorder="1" applyFont="1" applyNumberFormat="1" applyFill="1" applyProtection="1">
      <protection hidden="1"/>
    </xf>
    <xf xxid="698" numFmtId="0" fontId="2" fillId="7" borderId="0" xfId="16" applyAlignment="1" applyBorder="1" applyFont="1" applyNumberFormat="1" applyFill="1" applyProtection="1">
      <protection hidden="1"/>
    </xf>
    <xf xxid="699" numFmtId="0" fontId="39" fillId="7" borderId="0" xfId="16" applyAlignment="1" applyBorder="1" applyFont="1" applyNumberFormat="1" applyFill="1" applyProtection="1">
      <protection hidden="1"/>
    </xf>
    <xf xxid="700" numFmtId="0" fontId="60" fillId="7" borderId="0" xfId="16" applyAlignment="1" applyBorder="1" applyFont="1" applyNumberFormat="1" applyFill="1" applyProtection="1">
      <protection hidden="1"/>
    </xf>
    <xf xxid="701" numFmtId="169" fontId="62" fillId="6" borderId="0" xfId="18" applyAlignment="1" applyBorder="1" applyFont="1" applyNumberFormat="1" applyFill="1" applyProtection="1">
      <alignment horizontal="center"/>
      <protection hidden="1"/>
    </xf>
    <xf xxid="702" numFmtId="169" fontId="62" fillId="6" borderId="8" xfId="18" applyAlignment="1" applyBorder="1" applyFont="1" applyNumberFormat="1" applyFill="1" applyProtection="1">
      <alignment horizontal="center"/>
      <protection hidden="1"/>
    </xf>
    <xf xxid="703" numFmtId="0" fontId="55" fillId="6" borderId="0" xfId="16" applyAlignment="1" applyBorder="1" applyFont="1" applyNumberFormat="1" applyFill="1" applyProtection="1">
      <protection hidden="1"/>
    </xf>
    <xf xxid="704" numFmtId="10" fontId="0" fillId="6" borderId="0" xfId="21" applyAlignment="1" applyBorder="1" applyFont="1" applyNumberFormat="1" applyFill="1" applyProtection="1">
      <protection hidden="1"/>
    </xf>
    <xf xxid="705" numFmtId="179" fontId="2" fillId="6" borderId="0" xfId="16" applyAlignment="1" applyBorder="1" applyFont="1" applyNumberFormat="1" applyFill="1" applyProtection="1">
      <protection hidden="1"/>
    </xf>
    <xf xxid="706" numFmtId="0" fontId="55" fillId="6" borderId="0" xfId="16" applyAlignment="1" applyBorder="1" applyFont="1" applyNumberFormat="1" applyFill="1" applyProtection="1">
      <alignment horizontal="left"/>
      <protection hidden="1"/>
    </xf>
    <xf xxid="707" numFmtId="0" fontId="2" fillId="6" borderId="0" xfId="16" applyAlignment="1" applyBorder="1" applyFont="1" applyNumberFormat="1" applyFill="1" applyProtection="1">
      <alignment horizontal="center" vertical="center"/>
      <protection hidden="1"/>
    </xf>
    <xf xxid="708" numFmtId="0" fontId="2" fillId="0" borderId="0" xfId="16" applyAlignment="1" applyBorder="1" applyFont="1" applyNumberFormat="1" applyFill="1" applyProtection="1">
      <protection hidden="1"/>
    </xf>
    <xf xxid="709" numFmtId="0" fontId="2" fillId="8" borderId="0" xfId="16" applyAlignment="1" applyBorder="1" applyFont="1" applyNumberFormat="1" applyFill="1" applyProtection="1">
      <protection hidden="1"/>
    </xf>
    <xf xxid="710" numFmtId="0" fontId="2" fillId="17" borderId="0" xfId="16" applyAlignment="1" applyBorder="1" applyFont="1" applyNumberFormat="1" applyFill="1" applyProtection="1">
      <protection hidden="1"/>
    </xf>
    <xf xxid="711" numFmtId="0" fontId="2" fillId="6" borderId="0" xfId="16" applyAlignment="1" applyBorder="1" applyFont="1" applyNumberFormat="1" applyFill="1" applyProtection="1">
      <alignment vertical="top"/>
      <protection hidden="1"/>
    </xf>
    <xf xxid="712" numFmtId="0" fontId="5" fillId="6" borderId="0" xfId="16" applyAlignment="1" applyBorder="1" applyFont="1" applyNumberFormat="1" applyFill="1" applyProtection="1">
      <alignment vertical="top"/>
      <protection hidden="1"/>
    </xf>
    <xf xxid="713" numFmtId="0" fontId="39" fillId="6" borderId="0" xfId="16" applyAlignment="1" applyBorder="1" applyFont="1" applyNumberFormat="1" applyFill="1" applyProtection="1">
      <alignment vertical="top"/>
      <protection hidden="1"/>
    </xf>
    <xf xxid="714" numFmtId="0" fontId="68" fillId="6" borderId="0" xfId="16" applyAlignment="1" applyBorder="1" applyFont="1" applyNumberFormat="1" applyFill="1" applyProtection="1">
      <alignment vertical="top"/>
      <protection hidden="1"/>
    </xf>
    <xf xxid="715" numFmtId="0" fontId="21" fillId="6" borderId="0" xfId="16" applyAlignment="1" applyBorder="1" applyFont="1" applyNumberFormat="1" applyFill="1" applyProtection="1">
      <alignment vertical="top"/>
      <protection hidden="1"/>
    </xf>
    <xf xxid="716" numFmtId="0" fontId="21" fillId="6" borderId="0" xfId="16" applyAlignment="1" applyBorder="1" applyFont="1" applyNumberFormat="1" applyFill="1" applyProtection="1">
      <protection hidden="1"/>
    </xf>
    <xf xxid="717" numFmtId="0" fontId="38" fillId="6" borderId="0" xfId="16" applyAlignment="1" applyBorder="1" applyFont="1" applyNumberFormat="1" applyFill="1" applyProtection="1">
      <protection hidden="1"/>
    </xf>
    <xf xxid="718" numFmtId="0" fontId="9" fillId="0" borderId="0" xfId="0" applyAlignment="1" applyBorder="1" applyFont="1" applyNumberFormat="1" applyFill="1" applyProtection="1">
      <alignment vertical="center" wrapText="1"/>
    </xf>
    <xf xxid="719" numFmtId="0" fontId="65" fillId="0" borderId="0" xfId="16" applyAlignment="1" applyBorder="1" applyFont="1" applyNumberFormat="1" applyFill="1" applyProtection="1">
      <protection hidden="1"/>
    </xf>
    <xf xxid="720" numFmtId="0" fontId="65" fillId="0" borderId="0" xfId="16" applyAlignment="1" applyBorder="1" applyFont="1" applyNumberFormat="1" applyFill="1" applyProtection="1">
      <alignment vertical="center"/>
      <protection hidden="1"/>
    </xf>
    <xf xxid="721" numFmtId="0" fontId="62" fillId="0" borderId="0" xfId="16" applyAlignment="1" applyBorder="1" applyFont="1" applyNumberFormat="1" applyFill="1" applyProtection="1">
      <alignment vertical="center"/>
      <protection hidden="1"/>
    </xf>
    <xf xxid="722" numFmtId="0" fontId="68" fillId="0" borderId="0" xfId="16" applyAlignment="1" applyBorder="1" applyFont="1" applyNumberFormat="1" applyFill="1" applyProtection="1">
      <protection hidden="1"/>
    </xf>
    <xf xxid="723" numFmtId="0" fontId="69" fillId="0" borderId="0" xfId="16" applyAlignment="1" applyBorder="1" applyFont="1" applyNumberFormat="1" applyFill="1" applyProtection="1">
      <protection hidden="1"/>
    </xf>
    <xf xxid="724" numFmtId="0" fontId="62" fillId="6" borderId="10" xfId="16" applyAlignment="1" applyBorder="1" applyFont="1" applyNumberFormat="1" applyFill="1" applyProtection="1">
      <alignment horizontal="left" vertical="top"/>
      <protection hidden="1"/>
    </xf>
    <xf xxid="725" numFmtId="0" fontId="62" fillId="6" borderId="0" xfId="16" applyAlignment="1" applyBorder="1" applyFont="1" applyNumberFormat="1" applyFill="1" applyProtection="1">
      <alignment horizontal="left" vertical="top"/>
      <protection hidden="1"/>
    </xf>
    <xf xxid="726" numFmtId="0" fontId="62" fillId="6" borderId="5" xfId="16" applyAlignment="1" applyBorder="1" applyFont="1" applyNumberFormat="1" applyFill="1" applyProtection="1">
      <alignment horizontal="left" vertical="top"/>
      <protection hidden="1"/>
    </xf>
    <xf xxid="727" numFmtId="0" fontId="62" fillId="6" borderId="59" xfId="16" applyAlignment="1" applyBorder="1" applyFont="1" applyNumberFormat="1" applyFill="1" applyProtection="1">
      <alignment horizontal="center" vertical="top"/>
      <protection hidden="1"/>
    </xf>
    <xf xxid="728" numFmtId="0" fontId="65" fillId="0" borderId="60" xfId="16" applyAlignment="1" applyBorder="1" applyFont="1" applyNumberFormat="1" applyFill="1" applyProtection="1">
      <protection hidden="1"/>
    </xf>
    <xf xxid="729" numFmtId="0" fontId="62" fillId="0" borderId="61" xfId="16" applyAlignment="1" applyBorder="1" applyFont="1" applyNumberFormat="1" applyFill="1" applyProtection="1">
      <protection hidden="1"/>
    </xf>
    <xf xxid="730" numFmtId="0" fontId="83" fillId="19" borderId="66" xfId="16" applyAlignment="1" applyBorder="1" applyFont="1" applyNumberFormat="1" applyFill="1" applyProtection="1">
      <alignment horizontal="center" vertical="center"/>
      <protection hidden="1"/>
    </xf>
    <xf xxid="731" numFmtId="0" fontId="62" fillId="0" borderId="64" xfId="16" applyAlignment="1" applyBorder="1" applyFont="1" applyNumberFormat="1" applyFill="1" applyProtection="1">
      <protection hidden="1"/>
    </xf>
    <xf xxid="732" numFmtId="169" fontId="65" fillId="0" borderId="65" xfId="19" applyAlignment="1" applyBorder="1" applyFont="1" applyNumberFormat="1" applyFill="1" applyProtection="1">
      <protection hidden="1"/>
    </xf>
    <xf xxid="733" numFmtId="169" fontId="65" fillId="0" borderId="64" xfId="19" applyAlignment="1" applyBorder="1" applyFont="1" applyNumberFormat="1" applyFill="1" applyProtection="1">
      <protection hidden="1"/>
    </xf>
    <xf xxid="734" numFmtId="169" fontId="65" fillId="0" borderId="61" xfId="19" applyAlignment="1" applyBorder="1" applyFont="1" applyNumberFormat="1" applyFill="1" applyProtection="1">
      <protection hidden="1"/>
    </xf>
    <xf xxid="735" numFmtId="175" fontId="2" fillId="7" borderId="7" xfId="1" applyAlignment="1" applyBorder="1" applyFont="1" applyNumberFormat="1" applyFill="1" applyProtection="1">
      <alignment horizontal="right" wrapText="1"/>
    </xf>
    <xf xxid="736" numFmtId="0" fontId="5" fillId="14" borderId="68" xfId="3" applyAlignment="1" applyBorder="1" applyFont="1" applyNumberFormat="1" applyFill="1" applyProtection="1">
      <alignment horizontal="center" vertical="center" wrapText="1"/>
      <protection locked="0"/>
    </xf>
    <xf xxid="737" numFmtId="169" fontId="5" fillId="14" borderId="0" xfId="6" applyAlignment="1" applyBorder="1" applyFont="1" applyNumberFormat="1" applyFill="1" applyProtection="1">
      <alignment horizontal="center" vertical="center" wrapText="1"/>
    </xf>
    <xf xxid="738" numFmtId="0" fontId="0" fillId="14" borderId="69" xfId="0" applyAlignment="1" applyBorder="1" applyFont="1" applyNumberFormat="1" applyFill="1" applyProtection="1"/>
    <xf xxid="739" numFmtId="0" fontId="0" fillId="14" borderId="8" xfId="0" applyAlignment="1" applyBorder="1" applyFont="1" applyNumberFormat="1" applyFill="1" applyProtection="1"/>
    <xf xxid="740" numFmtId="0" fontId="0" fillId="14" borderId="16" xfId="0" applyAlignment="1" applyBorder="1" applyFont="1" applyNumberFormat="1" applyFill="1" applyProtection="1">
      <alignment horizontal="center"/>
    </xf>
    <xf xxid="741" numFmtId="0" fontId="0" fillId="14" borderId="16" xfId="0" applyAlignment="1" applyBorder="1" applyFont="1" applyNumberFormat="1" applyFill="1" applyProtection="1"/>
    <xf xxid="742" numFmtId="0" fontId="5" fillId="14" borderId="55" xfId="0" applyAlignment="1" applyBorder="1" applyFont="1" applyNumberFormat="1" applyFill="1" applyProtection="1">
      <alignment horizontal="center" vertical="center" wrapText="1"/>
    </xf>
    <xf xxid="743" numFmtId="0" fontId="5" fillId="14" borderId="56" xfId="0" applyAlignment="1" applyBorder="1" applyFont="1" applyNumberFormat="1" applyFill="1" applyProtection="1">
      <alignment horizontal="center" vertical="center" wrapText="1"/>
    </xf>
    <xf xxid="744" numFmtId="169" fontId="5" fillId="14" borderId="50" xfId="6" applyAlignment="1" applyBorder="1" applyFont="1" applyNumberFormat="1" applyFill="1" applyProtection="1">
      <alignment horizontal="center" vertical="center" wrapText="1"/>
    </xf>
    <xf xxid="745" numFmtId="175" fontId="2" fillId="7" borderId="70" xfId="1" applyAlignment="1" applyBorder="1" applyFont="1" applyNumberFormat="1" applyFill="1" applyProtection="1">
      <alignment horizontal="right" wrapText="1"/>
      <protection hidden="1"/>
    </xf>
    <xf xxid="746" numFmtId="175" fontId="0" fillId="14" borderId="71" xfId="1" applyAlignment="1" applyBorder="1" applyFont="1" applyNumberFormat="1" applyFill="1" applyProtection="1"/>
    <xf xxid="747" numFmtId="169" fontId="5" fillId="14" borderId="72" xfId="6" applyAlignment="1" applyBorder="1" applyFont="1" applyNumberFormat="1" applyFill="1" applyProtection="1">
      <alignment horizontal="center" vertical="center" wrapText="1"/>
    </xf>
    <xf xxid="748" numFmtId="175" fontId="2" fillId="7" borderId="7" xfId="1" applyAlignment="1" applyBorder="1" applyFont="1" applyNumberFormat="1" applyFill="1" applyProtection="1">
      <alignment horizontal="right" wrapText="1"/>
      <protection hidden="1"/>
    </xf>
    <xf xxid="749" numFmtId="169" fontId="5" fillId="14" borderId="37" xfId="6" applyAlignment="1" applyBorder="1" applyFont="1" applyNumberFormat="1" applyFill="1" applyProtection="1">
      <alignment horizontal="center" vertical="center" wrapText="1"/>
    </xf>
    <xf xxid="750" numFmtId="169" fontId="5" fillId="14" borderId="51" xfId="6" applyAlignment="1" applyBorder="1" applyFont="1" applyNumberFormat="1" applyFill="1" applyProtection="1">
      <alignment horizontal="center" vertical="center" wrapText="1"/>
    </xf>
    <xf xxid="751" numFmtId="185" fontId="2" fillId="7" borderId="7" xfId="1" applyAlignment="1" applyBorder="1" applyFont="1" applyNumberFormat="1" applyFill="1" applyProtection="1">
      <alignment wrapText="1"/>
      <protection locked="0"/>
    </xf>
    <xf xxid="752" numFmtId="169" fontId="2" fillId="14" borderId="19" xfId="3" applyAlignment="1" applyBorder="1" applyFont="1" applyNumberFormat="1" applyFill="1" applyProtection="1">
      <protection locked="0"/>
    </xf>
    <xf xxid="753" numFmtId="169" fontId="5" fillId="14" borderId="47" xfId="3" applyAlignment="1" applyBorder="1" applyFont="1" applyNumberFormat="1" applyFill="1" applyProtection="1">
      <protection locked="0"/>
    </xf>
    <xf xxid="754" numFmtId="169" fontId="5" fillId="0" borderId="73" xfId="3" applyAlignment="1" applyBorder="1" applyFont="1" applyNumberFormat="1" applyFill="1" applyProtection="1">
      <protection hidden="1"/>
    </xf>
    <xf xxid="755" numFmtId="169" fontId="5" fillId="0" borderId="58" xfId="3" applyAlignment="1" applyBorder="1" applyFont="1" applyNumberFormat="1" applyFill="1" applyProtection="1">
      <protection hidden="1"/>
    </xf>
    <xf xxid="756" numFmtId="169" fontId="2" fillId="14" borderId="8" xfId="3" applyAlignment="1" applyBorder="1" applyFont="1" applyNumberFormat="1" applyFill="1" applyProtection="1">
      <alignment horizontal="center"/>
      <protection locked="0"/>
    </xf>
    <xf xxid="757" numFmtId="169" fontId="2" fillId="5" borderId="21" xfId="3" applyAlignment="1" applyBorder="1" applyFont="1" applyNumberFormat="1" applyFill="1" applyProtection="1">
      <alignment horizontal="center"/>
      <protection locked="0"/>
    </xf>
    <xf xxid="758" numFmtId="169" fontId="5" fillId="14" borderId="48" xfId="3" applyAlignment="1" applyBorder="1" applyFont="1" applyNumberFormat="1" applyFill="1" applyProtection="1">
      <alignment horizontal="center"/>
      <protection locked="0"/>
    </xf>
    <xf xxid="759" numFmtId="169" fontId="2" fillId="14" borderId="74" xfId="3" applyAlignment="1" applyBorder="1" applyFont="1" applyNumberFormat="1" applyFill="1" applyProtection="1">
      <alignment horizontal="center"/>
      <protection locked="0"/>
    </xf>
    <xf xxid="760" numFmtId="169" fontId="2" fillId="5" borderId="75" xfId="3" applyAlignment="1" applyBorder="1" applyFont="1" applyNumberFormat="1" applyFill="1" applyProtection="1">
      <alignment horizontal="center"/>
      <protection locked="0"/>
    </xf>
    <xf xxid="761" numFmtId="169" fontId="5" fillId="14" borderId="56" xfId="3" applyAlignment="1" applyBorder="1" applyFont="1" applyNumberFormat="1" applyFill="1" applyProtection="1">
      <alignment horizontal="center"/>
      <protection locked="0"/>
    </xf>
    <xf xxid="762" numFmtId="0" fontId="37" fillId="0" borderId="0" xfId="0" applyAlignment="1" applyBorder="1" applyFont="1" applyNumberFormat="1" applyFill="1" applyProtection="1">
      <alignment horizontal="center" vertical="center"/>
    </xf>
    <xf xxid="763" numFmtId="0" fontId="62" fillId="7" borderId="0" xfId="0" applyAlignment="1" applyBorder="1" applyFont="1" applyNumberFormat="1" applyFill="1" applyProtection="1">
      <alignment wrapText="1"/>
      <protection hidden="1"/>
    </xf>
    <xf xxid="764" numFmtId="0" fontId="62" fillId="7" borderId="0" xfId="0" applyAlignment="1" applyBorder="1" applyFont="1" applyNumberFormat="1" applyFill="1" applyProtection="1">
      <alignment vertical="center" wrapText="1"/>
      <protection hidden="1"/>
    </xf>
    <xf xxid="765" numFmtId="0" fontId="5" fillId="14" borderId="0" xfId="0" applyAlignment="1" applyBorder="1" applyFont="1" applyNumberFormat="1" applyFill="1" applyProtection="1">
      <alignment horizontal="right"/>
    </xf>
    <xf xxid="766" numFmtId="169" fontId="2" fillId="7" borderId="75" xfId="3" applyAlignment="1" applyBorder="1" applyFont="1" applyNumberFormat="1" applyFill="1" applyProtection="1">
      <alignment horizontal="center"/>
    </xf>
    <xf xxid="767" numFmtId="0" fontId="5" fillId="13" borderId="0" xfId="0" applyAlignment="1" applyBorder="1" applyFont="1" applyNumberFormat="1" applyFill="1" applyProtection="1">
      <alignment horizontal="left"/>
      <protection locked="0"/>
    </xf>
    <xf xxid="768" numFmtId="0" fontId="2" fillId="13" borderId="0" xfId="0" applyAlignment="1" applyBorder="1" applyFont="1" applyNumberFormat="1" applyFill="1" applyProtection="1">
      <alignment horizontal="left"/>
      <protection locked="0"/>
    </xf>
    <xf xxid="769" numFmtId="0" fontId="5" fillId="13" borderId="0" xfId="0" applyAlignment="1" applyBorder="1" applyFont="1" applyNumberFormat="1" applyFill="1" applyProtection="1">
      <protection hidden="1"/>
    </xf>
    <xf xxid="770" numFmtId="0" fontId="60" fillId="6" borderId="0" xfId="16" applyAlignment="1" applyBorder="1" applyFont="1" applyNumberFormat="1" applyFill="1" applyProtection="1">
      <alignment horizontal="left"/>
      <protection hidden="1"/>
    </xf>
    <xf xxid="771" numFmtId="167" fontId="17" fillId="0" borderId="10" xfId="0" applyAlignment="1" applyBorder="1" applyFont="1" applyNumberFormat="1" applyFill="1" applyProtection="1">
      <alignment horizontal="center" vertical="center" wrapText="1"/>
    </xf>
    <xf xxid="772" numFmtId="167" fontId="17" fillId="0" borderId="0" xfId="0" applyAlignment="1" applyBorder="1" applyFont="1" applyNumberFormat="1" applyFill="1" applyProtection="1">
      <alignment horizontal="center" vertical="center" wrapText="1"/>
    </xf>
    <xf xxid="773" numFmtId="167" fontId="17" fillId="0" borderId="12" xfId="0" applyAlignment="1" applyBorder="1" applyFont="1" applyNumberFormat="1" applyFill="1" applyProtection="1">
      <alignment horizontal="center" vertical="center" wrapText="1"/>
    </xf>
    <xf xxid="774" numFmtId="167" fontId="36" fillId="0" borderId="0" xfId="0" applyAlignment="1" applyBorder="1" applyFont="1" applyNumberFormat="1" applyFill="1" applyProtection="1">
      <alignment horizontal="center" vertical="center" wrapText="1"/>
    </xf>
    <xf xxid="775" numFmtId="0" fontId="17" fillId="0" borderId="10" xfId="0" applyAlignment="1" applyBorder="1" applyFont="1" applyNumberFormat="1" applyFill="1" applyProtection="1">
      <alignment horizontal="center" vertical="center"/>
    </xf>
    <xf xxid="776" numFmtId="0" fontId="17" fillId="0" borderId="12" xfId="0" applyAlignment="1" applyBorder="1" applyFont="1" applyNumberFormat="1" applyFill="1" applyProtection="1">
      <alignment horizontal="center" vertical="center"/>
    </xf>
    <xf xxid="777" numFmtId="182" fontId="62" fillId="6" borderId="0" xfId="16" applyAlignment="1" applyBorder="1" applyFont="1" applyNumberFormat="1" applyFill="1" applyProtection="1">
      <protection hidden="1"/>
    </xf>
    <xf xxid="778" numFmtId="182" fontId="62" fillId="6" borderId="8" xfId="16" applyAlignment="1" applyBorder="1" applyFont="1" applyNumberFormat="1" applyFill="1" applyProtection="1">
      <protection hidden="1"/>
    </xf>
    <xf xxid="779" numFmtId="182" fontId="62" fillId="6" borderId="0" xfId="16" applyAlignment="1" applyBorder="1" applyFont="1" applyNumberFormat="1" applyFill="1" applyProtection="1">
      <alignment vertical="center"/>
      <protection hidden="1"/>
    </xf>
    <xf xxid="780" numFmtId="169" fontId="62" fillId="6" borderId="8" xfId="16" applyAlignment="1" applyBorder="1" applyFont="1" applyNumberFormat="1" applyFill="1" applyProtection="1">
      <alignment horizontal="center"/>
      <protection hidden="1"/>
    </xf>
    <xf xxid="781" numFmtId="0" fontId="62" fillId="6" borderId="8" xfId="16" applyAlignment="1" applyBorder="1" applyFont="1" applyNumberFormat="1" applyFill="1" applyProtection="1">
      <alignment horizontal="center"/>
      <protection hidden="1"/>
    </xf>
    <xf xxid="782" numFmtId="169" fontId="62" fillId="6" borderId="0" xfId="16" applyAlignment="1" applyBorder="1" applyFont="1" applyNumberFormat="1" applyFill="1" applyProtection="1">
      <alignment horizontal="center"/>
      <protection hidden="1"/>
    </xf>
    <xf xxid="783" numFmtId="0" fontId="62" fillId="6" borderId="0" xfId="16" applyAlignment="1" applyBorder="1" applyFont="1" applyNumberFormat="1" applyFill="1" applyProtection="1">
      <alignment horizontal="center"/>
      <protection hidden="1"/>
    </xf>
    <xf xxid="784" numFmtId="0" fontId="65" fillId="6" borderId="0" xfId="16" applyAlignment="1" applyBorder="1" applyFont="1" applyNumberFormat="1" applyFill="1" applyProtection="1">
      <alignment vertical="center"/>
      <protection hidden="1"/>
    </xf>
    <xf xxid="785" numFmtId="179" fontId="65" fillId="6" borderId="8" xfId="16" applyAlignment="1" applyBorder="1" applyFont="1" applyNumberFormat="1" applyFill="1" applyProtection="1">
      <alignment horizontal="center" vertical="center"/>
      <protection hidden="1"/>
    </xf>
    <xf xxid="786" numFmtId="0" fontId="3" fillId="0" borderId="33" xfId="0" applyAlignment="1" applyBorder="1" applyFont="1" applyNumberFormat="1" applyFill="1" applyProtection="1">
      <alignment horizontal="center" vertical="center"/>
    </xf>
    <xf xxid="787" numFmtId="169" fontId="17" fillId="0" borderId="10" xfId="0" applyAlignment="1" applyBorder="1" applyFont="1" applyNumberFormat="1" applyFill="1" applyProtection="1">
      <alignment vertical="center"/>
      <protection locked="0"/>
    </xf>
    <xf xxid="788" numFmtId="169" fontId="17" fillId="0" borderId="0" xfId="0" applyAlignment="1" applyBorder="1" applyFont="1" applyNumberFormat="1" applyFill="1" applyProtection="1">
      <alignment vertical="center"/>
      <protection locked="0"/>
    </xf>
    <xf xxid="789" numFmtId="169" fontId="17" fillId="0" borderId="12" xfId="0" applyAlignment="1" applyBorder="1" applyFont="1" applyNumberFormat="1" applyFill="1" applyProtection="1">
      <alignment vertical="center"/>
      <protection locked="0"/>
    </xf>
    <xf xxid="790" numFmtId="169" fontId="3" fillId="0" borderId="0" xfId="0" applyAlignment="1" applyBorder="1" applyFont="1" applyNumberFormat="1" applyFill="1" applyProtection="1">
      <alignment horizontal="right" vertical="center"/>
    </xf>
    <xf xxid="791" numFmtId="169" fontId="3" fillId="0" borderId="12" xfId="0" applyAlignment="1" applyBorder="1" applyFont="1" applyNumberFormat="1" applyFill="1" applyProtection="1">
      <alignment horizontal="right" vertical="center"/>
    </xf>
    <xf xxid="792" numFmtId="169" fontId="17" fillId="0" borderId="10" xfId="0" applyAlignment="1" applyBorder="1" applyFont="1" applyNumberFormat="1" applyFill="1" applyProtection="1">
      <alignment horizontal="center" vertical="center"/>
      <protection locked="0"/>
    </xf>
    <xf xxid="793" numFmtId="169" fontId="17" fillId="0" borderId="0" xfId="0" applyAlignment="1" applyBorder="1" applyFont="1" applyNumberFormat="1" applyFill="1" applyProtection="1">
      <alignment horizontal="center" vertical="center"/>
      <protection locked="0"/>
    </xf>
    <xf xxid="794" numFmtId="169" fontId="17" fillId="0" borderId="10" xfId="0" applyAlignment="1" applyBorder="1" applyFont="1" applyNumberFormat="1" applyFill="1" applyProtection="1">
      <alignment horizontal="right" vertical="center"/>
      <protection locked="0"/>
    </xf>
    <xf xxid="795" numFmtId="169" fontId="17" fillId="0" borderId="0" xfId="0" applyAlignment="1" applyBorder="1" applyFont="1" applyNumberFormat="1" applyFill="1" applyProtection="1">
      <alignment horizontal="right" vertical="center"/>
      <protection locked="0"/>
    </xf>
    <xf xxid="796" numFmtId="169" fontId="3" fillId="0" borderId="10" xfId="0" applyAlignment="1" applyBorder="1" applyFont="1" applyNumberFormat="1" applyFill="1" applyProtection="1">
      <alignment horizontal="right" vertical="center"/>
      <protection locked="0"/>
    </xf>
    <xf xxid="797" numFmtId="169" fontId="3" fillId="0" borderId="0" xfId="0" applyAlignment="1" applyBorder="1" applyFont="1" applyNumberFormat="1" applyFill="1" applyProtection="1">
      <alignment horizontal="right" vertical="center"/>
      <protection locked="0"/>
    </xf>
    <xf xxid="798" numFmtId="0" fontId="62" fillId="6" borderId="63" xfId="16" applyAlignment="1" applyBorder="1" applyFont="1" applyNumberFormat="1" applyFill="1" applyProtection="1">
      <alignment vertical="top" wrapText="1"/>
      <protection hidden="1"/>
    </xf>
    <xf xxid="799" numFmtId="0" fontId="62" fillId="6" borderId="6" xfId="16" applyAlignment="1" applyBorder="1" applyFont="1" applyNumberFormat="1" applyFill="1" applyProtection="1">
      <alignment vertical="top" wrapText="1"/>
      <protection hidden="1"/>
    </xf>
    <xf xxid="800" numFmtId="0" fontId="62" fillId="6" borderId="59" xfId="16" applyAlignment="1" applyBorder="1" applyFont="1" applyNumberFormat="1" applyFill="1" applyProtection="1">
      <alignment horizontal="center" vertical="top" wrapText="1"/>
      <protection hidden="1"/>
    </xf>
    <xf xxid="801" numFmtId="169" fontId="62" fillId="6" borderId="76" xfId="19" applyAlignment="1" applyBorder="1" applyFont="1" applyNumberFormat="1" applyFill="1" applyProtection="1">
      <alignment vertical="top" wrapText="1"/>
      <protection hidden="1"/>
    </xf>
    <xf xxid="802" numFmtId="0" fontId="62" fillId="6" borderId="0" xfId="16" applyAlignment="1" applyBorder="1" applyFont="1" applyNumberFormat="1" applyFill="1" applyProtection="1">
      <alignment vertical="top" wrapText="1"/>
      <protection hidden="1"/>
    </xf>
    <xf xxid="803" numFmtId="169" fontId="17" fillId="0" borderId="0" xfId="0" applyAlignment="1" applyBorder="1" applyFont="1" applyNumberFormat="1" applyFill="1" applyProtection="1">
      <alignment horizontal="left" vertical="center" wrapText="1"/>
    </xf>
    <xf xxid="804" numFmtId="169" fontId="17" fillId="0" borderId="12" xfId="0" applyAlignment="1" applyBorder="1" applyFont="1" applyNumberFormat="1" applyFill="1" applyProtection="1">
      <alignment horizontal="left" vertical="center" wrapText="1"/>
    </xf>
    <xf xxid="805" numFmtId="166" fontId="17" fillId="0" borderId="33" xfId="0" applyAlignment="1" applyBorder="1" applyFont="1" applyNumberFormat="1" applyFill="1" applyProtection="1">
      <alignment horizontal="right" vertical="center"/>
    </xf>
    <xf xxid="806" numFmtId="166" fontId="17" fillId="0" borderId="34" xfId="0" applyAlignment="1" applyBorder="1" applyFont="1" applyNumberFormat="1" applyFill="1" applyProtection="1">
      <alignment horizontal="right" vertical="center"/>
    </xf>
    <xf xxid="807" numFmtId="169" fontId="17" fillId="0" borderId="0" xfId="0" applyAlignment="1" applyBorder="1" applyFont="1" applyNumberFormat="1" applyFill="1" applyProtection="1">
      <alignment horizontal="left" vertical="center" wrapText="1"/>
      <protection locked="0"/>
    </xf>
    <xf xxid="808" numFmtId="169" fontId="17" fillId="0" borderId="12" xfId="0" applyAlignment="1" applyBorder="1" applyFont="1" applyNumberFormat="1" applyFill="1" applyProtection="1">
      <alignment horizontal="left" vertical="center" wrapText="1"/>
      <protection locked="0"/>
    </xf>
    <xf xxid="809" numFmtId="166" fontId="17" fillId="0" borderId="10" xfId="0" applyAlignment="1" applyBorder="1" applyFont="1" applyNumberFormat="1" applyFill="1" applyProtection="1">
      <alignment vertical="center"/>
      <protection locked="0"/>
    </xf>
    <xf xxid="810" numFmtId="166" fontId="17" fillId="0" borderId="0" xfId="0" applyAlignment="1" applyBorder="1" applyFont="1" applyNumberFormat="1" applyFill="1" applyProtection="1">
      <alignment vertical="center"/>
      <protection locked="0"/>
    </xf>
    <xf xxid="811" numFmtId="166" fontId="17" fillId="0" borderId="0" xfId="0" applyAlignment="1" applyBorder="1" applyFont="1" applyNumberFormat="1" applyFill="1" applyProtection="1">
      <protection locked="0"/>
    </xf>
    <xf xxid="812" numFmtId="169" fontId="17" fillId="0" borderId="0" xfId="0" applyAlignment="1" applyBorder="1" applyFont="1" applyNumberFormat="1" applyFill="1" applyProtection="1">
      <alignment horizontal="center"/>
      <protection locked="0"/>
    </xf>
    <xf xxid="813" numFmtId="169" fontId="17" fillId="0" borderId="0" xfId="0" applyAlignment="1" applyBorder="1" applyFont="1" applyNumberFormat="1" applyFill="1" applyProtection="1">
      <protection locked="0"/>
    </xf>
    <xf xxid="814" numFmtId="169" fontId="17" fillId="0" borderId="12" xfId="0" applyAlignment="1" applyBorder="1" applyFont="1" applyNumberFormat="1" applyFill="1" applyProtection="1">
      <protection locked="0"/>
    </xf>
    <xf xxid="815" numFmtId="169" fontId="17" fillId="0" borderId="0" xfId="0" applyAlignment="1" applyBorder="1" applyFont="1" applyNumberFormat="1" applyFill="1" applyProtection="1">
      <alignment vertical="center" wrapText="1"/>
      <protection locked="0"/>
    </xf>
    <xf xxid="816" numFmtId="169" fontId="17" fillId="0" borderId="12" xfId="0" applyAlignment="1" applyBorder="1" applyFont="1" applyNumberFormat="1" applyFill="1" applyProtection="1">
      <alignment vertical="center" wrapText="1"/>
      <protection locked="0"/>
    </xf>
    <xf xxid="817" numFmtId="166" fontId="17" fillId="0" borderId="10" xfId="0" applyAlignment="1" applyBorder="1" applyFont="1" applyNumberFormat="1" applyFill="1" applyProtection="1">
      <alignment horizontal="right" vertical="center"/>
    </xf>
    <xf xxid="818" numFmtId="166" fontId="17" fillId="0" borderId="0" xfId="0" applyAlignment="1" applyBorder="1" applyFont="1" applyNumberFormat="1" applyFill="1" applyProtection="1">
      <alignment horizontal="right" vertical="center"/>
    </xf>
    <xf xxid="819" numFmtId="0" fontId="9" fillId="0" borderId="0" xfId="0" applyAlignment="1" applyBorder="1" applyFont="1" applyNumberFormat="1" applyFill="1" applyProtection="1">
      <alignment horizontal="center" vertical="center"/>
      <protection locked="0"/>
    </xf>
    <xf xxid="820" numFmtId="166" fontId="17" fillId="0" borderId="22" xfId="0" applyAlignment="1" applyBorder="1" applyFont="1" applyNumberFormat="1" applyFill="1" applyProtection="1">
      <protection locked="0"/>
    </xf>
    <xf xxid="821" numFmtId="166" fontId="17" fillId="0" borderId="12" xfId="0" applyAlignment="1" applyBorder="1" applyFont="1" applyNumberFormat="1" applyFill="1" applyProtection="1">
      <protection locked="0"/>
    </xf>
    <xf xxid="822" numFmtId="166" fontId="17" fillId="0" borderId="10" xfId="0" applyAlignment="1" applyBorder="1" applyFont="1" applyNumberFormat="1" applyFill="1" applyProtection="1">
      <alignment horizontal="right" vertical="center"/>
      <protection locked="0"/>
    </xf>
    <xf xxid="823" numFmtId="166" fontId="17" fillId="0" borderId="0" xfId="0" applyAlignment="1" applyBorder="1" applyFont="1" applyNumberFormat="1" applyFill="1" applyProtection="1">
      <alignment horizontal="right" vertical="center"/>
      <protection locked="0"/>
    </xf>
    <xf xxid="824" numFmtId="169" fontId="3" fillId="0" borderId="0" xfId="0" applyAlignment="1" applyBorder="1" applyFont="1" applyNumberFormat="1" applyFill="1" applyProtection="1">
      <alignment horizontal="left" vertical="center"/>
    </xf>
    <xf xxid="825" numFmtId="169" fontId="3" fillId="0" borderId="12" xfId="0" applyAlignment="1" applyBorder="1" applyFont="1" applyNumberFormat="1" applyFill="1" applyProtection="1">
      <alignment horizontal="left" vertical="center"/>
    </xf>
    <xf xxid="826" numFmtId="0" fontId="15" fillId="0" borderId="12" xfId="0" applyAlignment="1" applyBorder="1" applyFont="1" applyNumberFormat="1" applyFill="1" applyProtection="1">
      <alignment vertical="center" wrapText="1"/>
    </xf>
    <xf xxid="827" numFmtId="0" fontId="10" fillId="0" borderId="0" xfId="0" applyAlignment="1" applyBorder="1" applyFont="1" applyNumberFormat="1" applyFill="1" applyProtection="1">
      <alignment vertical="center" wrapText="1"/>
    </xf>
    <xf xxid="828" numFmtId="0" fontId="10" fillId="0" borderId="12" xfId="0" applyAlignment="1" applyBorder="1" applyFont="1" applyNumberFormat="1" applyFill="1" applyProtection="1">
      <alignment vertical="center" wrapText="1"/>
    </xf>
    <xf xxid="829" numFmtId="0" fontId="5" fillId="13" borderId="0" xfId="4" applyAlignment="1" applyBorder="1" applyFont="1" applyNumberFormat="1" applyFill="1" applyProtection="1">
      <alignment horizontal="left" vertical="center" wrapText="1"/>
    </xf>
    <xf xxid="830" numFmtId="173" fontId="2" fillId="5" borderId="24" xfId="1" applyAlignment="1" applyBorder="1" applyFont="1" applyNumberFormat="1" applyFill="1" applyProtection="1">
      <alignment horizontal="center" vertical="top" wrapText="1"/>
      <protection locked="0"/>
    </xf>
    <xf xxid="831" numFmtId="175" fontId="2" fillId="5" borderId="24" xfId="1" applyAlignment="1" applyBorder="1" applyFont="1" applyNumberFormat="1" applyFill="1" applyProtection="1">
      <alignment horizontal="right" vertical="top"/>
      <protection locked="0"/>
    </xf>
    <xf xxid="832" numFmtId="0" fontId="86" fillId="0" borderId="7" xfId="13" applyAlignment="1" applyBorder="1" applyFont="1" applyNumberFormat="1" applyFill="1" applyProtection="1">
      <protection hidden="1"/>
    </xf>
    <xf xxid="833" numFmtId="0" fontId="1" fillId="0" borderId="7" xfId="13" applyAlignment="1" applyBorder="1" applyFont="1" applyNumberFormat="1" applyFill="1" applyProtection="1">
      <protection hidden="1"/>
    </xf>
    <xf xxid="834" numFmtId="173" fontId="1" fillId="0" borderId="7" xfId="13" applyAlignment="1" applyBorder="1" applyFont="1" applyNumberFormat="1" applyFill="1" applyProtection="1">
      <protection hidden="1"/>
    </xf>
    <xf xxid="835" numFmtId="167" fontId="1" fillId="0" borderId="7" xfId="1" applyAlignment="1" applyBorder="1" applyFont="1" applyNumberFormat="1" applyFill="1" applyProtection="1">
      <protection hidden="1"/>
    </xf>
    <xf xxid="836" numFmtId="167" fontId="1" fillId="0" borderId="7" xfId="1" applyAlignment="1" applyBorder="1" applyFont="1" applyNumberFormat="1" applyFill="1" applyProtection="1">
      <alignment horizontal="right" vertical="center"/>
      <protection hidden="1"/>
    </xf>
    <xf xxid="837" numFmtId="169" fontId="5" fillId="14" borderId="7" xfId="6" applyAlignment="1" applyBorder="1" applyFont="1" applyNumberFormat="1" applyFill="1" applyProtection="1">
      <alignment horizontal="center" vertical="center" wrapText="1"/>
      <protection hidden="1"/>
    </xf>
    <xf xxid="838" numFmtId="0" fontId="2" fillId="7" borderId="7" xfId="0" applyAlignment="1" applyBorder="1" applyFont="1" applyNumberFormat="1" applyFill="1" applyProtection="1">
      <protection hidden="1"/>
    </xf>
    <xf xxid="839" numFmtId="0" fontId="0" fillId="7" borderId="7" xfId="0" applyAlignment="1" applyBorder="1" applyFont="1" applyNumberFormat="1" applyFill="1" applyProtection="1">
      <protection hidden="1"/>
    </xf>
    <xf xxid="840" numFmtId="0" fontId="2" fillId="5" borderId="0" xfId="4" applyAlignment="1" applyBorder="1" applyFont="1" applyNumberFormat="1" applyFill="1" applyProtection="1">
      <alignment horizontal="center"/>
      <protection locked="0"/>
    </xf>
    <xf xxid="841" numFmtId="0" fontId="2" fillId="13" borderId="77" xfId="4" applyAlignment="1" applyBorder="1" applyFont="1" applyNumberFormat="1" applyFill="1" applyProtection="1">
      <alignment horizontal="center"/>
      <protection locked="0"/>
    </xf>
    <xf xxid="842" numFmtId="0" fontId="3" fillId="0" borderId="0" xfId="0" applyAlignment="1" applyBorder="1" applyFont="1" applyNumberFormat="1" applyFill="1" applyProtection="1">
      <alignment vertical="center"/>
      <protection hidden="1"/>
    </xf>
    <xf xxid="843" numFmtId="0" fontId="41" fillId="0" borderId="0" xfId="0" applyAlignment="1" applyBorder="1" applyFont="1" applyNumberFormat="1" applyFill="1" applyProtection="1">
      <alignment horizontal="center"/>
    </xf>
    <xf xxid="844" numFmtId="0" fontId="2" fillId="5" borderId="7" xfId="4" applyAlignment="1" applyBorder="1" applyFont="1" applyNumberFormat="1" applyFill="1" applyProtection="1">
      <alignment horizontal="center"/>
      <protection locked="0"/>
    </xf>
    <xf xxid="845" numFmtId="0" fontId="73" fillId="12" borderId="0" xfId="4" applyAlignment="1" applyBorder="1" applyFont="1" applyNumberFormat="1" applyFill="1" applyProtection="1"/>
    <xf xxid="846" numFmtId="0" fontId="79" fillId="12" borderId="0" xfId="4" applyAlignment="1" applyBorder="1" applyFont="1" applyNumberFormat="1" applyFill="1" applyProtection="1"/>
    <xf xxid="847" numFmtId="0" fontId="75" fillId="12" borderId="0" xfId="4" applyAlignment="1" applyBorder="1" applyFont="1" applyNumberFormat="1" applyFill="1" applyProtection="1"/>
    <xf xxid="848" numFmtId="0" fontId="17" fillId="0" borderId="78" xfId="16" applyAlignment="1" applyBorder="1" applyFont="1" applyNumberFormat="1" applyFill="1" applyProtection="1">
      <alignment horizontal="left" vertical="top" wrapText="1"/>
    </xf>
    <xf xxid="849" numFmtId="0" fontId="17" fillId="0" borderId="78" xfId="16" applyAlignment="1" applyBorder="1" applyFont="1" applyNumberFormat="1" applyFill="1" applyProtection="1">
      <alignment horizontal="left" vertical="top" wrapText="1"/>
      <protection hidden="1"/>
    </xf>
    <xf xxid="850" numFmtId="0" fontId="17" fillId="0" borderId="78" xfId="16" applyAlignment="1" applyBorder="1" applyFont="1" applyNumberFormat="1" applyFill="1" applyProtection="1">
      <alignment horizontal="center" vertical="top" wrapText="1"/>
      <protection hidden="1"/>
    </xf>
    <xf xxid="851" numFmtId="0" fontId="5" fillId="13" borderId="7" xfId="4" applyAlignment="1" applyBorder="1" applyFont="1" applyNumberFormat="1" applyFill="1" applyProtection="1">
      <alignment horizontal="center" vertical="center" wrapText="1"/>
    </xf>
    <xf xxid="852" numFmtId="0" fontId="5" fillId="13" borderId="75" xfId="4" applyAlignment="1" applyBorder="1" applyFont="1" applyNumberFormat="1" applyFill="1" applyProtection="1">
      <alignment horizontal="center" vertical="center" wrapText="1"/>
    </xf>
    <xf xxid="853" numFmtId="0" fontId="2" fillId="0" borderId="0" xfId="4" applyAlignment="1" applyBorder="1" applyFont="1" applyNumberFormat="1" applyFill="1" applyProtection="1">
      <alignment vertical="top" wrapText="1"/>
      <protection locked="0"/>
    </xf>
    <xf xxid="854" numFmtId="0" fontId="17" fillId="0" borderId="0" xfId="16" applyAlignment="1" applyBorder="1" applyFont="1" applyNumberFormat="1" applyFill="1" applyProtection="1">
      <alignment horizontal="center" vertical="top" wrapText="1"/>
      <protection hidden="1"/>
    </xf>
    <xf xxid="855" numFmtId="0" fontId="2" fillId="5" borderId="7" xfId="4" applyAlignment="1" applyBorder="1" applyFont="1" applyNumberFormat="1" applyFill="1" applyProtection="1">
      <alignment horizontal="left" vertical="top" wrapText="1"/>
      <protection locked="0"/>
    </xf>
    <xf xxid="856" numFmtId="169" fontId="2" fillId="6" borderId="75" xfId="1" applyAlignment="1" applyBorder="1" applyFont="1" applyNumberFormat="1" applyFill="1" applyProtection="1">
      <protection hidden="1"/>
    </xf>
    <xf xxid="857" numFmtId="0" fontId="2" fillId="0" borderId="0" xfId="4" applyAlignment="1" applyBorder="1" applyFont="1" applyNumberFormat="1" applyFill="1" applyProtection="1">
      <alignment horizontal="left" vertical="top" wrapText="1"/>
      <protection hidden="1"/>
    </xf>
    <xf xxid="858" numFmtId="169" fontId="2" fillId="0" borderId="0" xfId="1" applyAlignment="1" applyBorder="1" applyFont="1" applyNumberFormat="1" applyFill="1" applyProtection="1">
      <protection hidden="1"/>
    </xf>
    <xf xxid="859" numFmtId="0" fontId="2" fillId="0" borderId="0" xfId="4" applyAlignment="1" applyBorder="1" applyFont="1" applyNumberFormat="1" applyFill="1" applyProtection="1">
      <alignment vertical="top" wrapText="1"/>
      <protection hidden="1"/>
    </xf>
    <xf xxid="860" numFmtId="0" fontId="2" fillId="0" borderId="0" xfId="4" applyAlignment="1" applyBorder="1" applyFont="1" applyNumberFormat="1" applyFill="1" applyProtection="1">
      <alignment horizontal="left" vertical="top" wrapText="1"/>
    </xf>
    <xf xxid="861" numFmtId="0" fontId="2" fillId="0" borderId="0" xfId="4" applyAlignment="1" applyBorder="1" applyFont="1" applyNumberFormat="1" applyFill="1" applyProtection="1">
      <alignment horizontal="left" vertical="top"/>
    </xf>
    <xf xxid="862" numFmtId="0" fontId="2" fillId="0" borderId="8" xfId="4" applyAlignment="1" applyBorder="1" applyFont="1" applyNumberFormat="1" applyFill="1" applyProtection="1">
      <alignment horizontal="left" vertical="top" wrapText="1"/>
      <protection hidden="1"/>
    </xf>
    <xf xxid="863" numFmtId="0" fontId="2" fillId="0" borderId="8" xfId="4" applyAlignment="1" applyBorder="1" applyFont="1" applyNumberFormat="1" applyFill="1" applyProtection="1">
      <alignment horizontal="left" vertical="top" wrapText="1"/>
    </xf>
    <xf xxid="864" numFmtId="0" fontId="2" fillId="0" borderId="8" xfId="4" applyAlignment="1" applyBorder="1" applyFont="1" applyNumberFormat="1" applyFill="1" applyProtection="1">
      <alignment horizontal="left" vertical="top"/>
    </xf>
    <xf xxid="865" numFmtId="0" fontId="2" fillId="0" borderId="0" xfId="4" applyAlignment="1" applyBorder="1" applyFont="1" applyNumberFormat="1" applyFill="1" applyProtection="1">
      <alignment vertical="top" wrapText="1"/>
    </xf>
    <xf xxid="866" numFmtId="0" fontId="2" fillId="0" borderId="0" xfId="4" applyAlignment="1" applyBorder="1" applyFont="1" applyNumberFormat="1" applyFill="1" applyProtection="1">
      <alignment vertical="top"/>
      <protection locked="0"/>
    </xf>
    <xf xxid="867" numFmtId="0" fontId="2" fillId="5" borderId="55" xfId="4" applyAlignment="1" applyBorder="1" applyFont="1" applyNumberFormat="1" applyFill="1" applyProtection="1">
      <alignment horizontal="left" vertical="top" wrapText="1"/>
      <protection locked="0"/>
    </xf>
    <xf xxid="868" numFmtId="167" fontId="2" fillId="5" borderId="55" xfId="1" applyAlignment="1" applyBorder="1" applyFont="1" applyNumberFormat="1" applyFill="1" applyProtection="1">
      <alignment horizontal="right"/>
      <protection locked="0"/>
    </xf>
    <xf xxid="869" numFmtId="169" fontId="2" fillId="6" borderId="56" xfId="1" applyAlignment="1" applyBorder="1" applyFont="1" applyNumberFormat="1" applyFill="1" applyProtection="1">
      <protection hidden="1"/>
    </xf>
    <xf xxid="870" numFmtId="169" fontId="2" fillId="0" borderId="0" xfId="1" applyAlignment="1" applyBorder="1" applyFont="1" applyNumberFormat="1" applyFill="1" applyProtection="1">
      <alignment vertical="top"/>
      <protection hidden="1"/>
    </xf>
    <xf xxid="871" numFmtId="0" fontId="80" fillId="0" borderId="0" xfId="0" applyAlignment="1" applyBorder="1" applyFont="1" applyNumberFormat="1" applyFill="1" applyProtection="1">
      <alignment vertical="top" wrapText="1"/>
    </xf>
    <xf xxid="872" numFmtId="0" fontId="2" fillId="0" borderId="1" xfId="4" applyAlignment="1" applyBorder="1" applyFont="1" applyNumberFormat="1" applyFill="1" applyProtection="1">
      <alignment vertical="top" wrapText="1"/>
      <protection hidden="1"/>
    </xf>
    <xf xxid="873" numFmtId="0" fontId="80" fillId="0" borderId="1" xfId="0" applyAlignment="1" applyBorder="1" applyFont="1" applyNumberFormat="1" applyFill="1" applyProtection="1">
      <alignment vertical="top" wrapText="1"/>
    </xf>
    <xf xxid="874" numFmtId="0" fontId="2" fillId="0" borderId="1" xfId="4" applyAlignment="1" applyBorder="1" applyFont="1" applyNumberFormat="1" applyFill="1" applyProtection="1">
      <alignment vertical="top"/>
      <protection locked="0"/>
    </xf>
    <xf xxid="875" numFmtId="0" fontId="17" fillId="0" borderId="0" xfId="16" applyAlignment="1" applyBorder="1" applyFont="1" applyNumberFormat="1" applyFill="1" applyProtection="1">
      <alignment horizontal="center" vertical="top" wrapText="1"/>
    </xf>
    <xf xxid="876" numFmtId="169" fontId="5" fillId="7" borderId="35" xfId="1" applyAlignment="1" applyBorder="1" applyFont="1" applyNumberFormat="1" applyFill="1" applyProtection="1">
      <protection hidden="1"/>
    </xf>
    <xf xxid="877" numFmtId="0" fontId="17" fillId="20" borderId="0" xfId="4" applyAlignment="1" applyBorder="1" applyFont="1" applyNumberFormat="1" applyFill="1" applyProtection="1"/>
    <xf xxid="878" numFmtId="0" fontId="3" fillId="20" borderId="0" xfId="4" applyAlignment="1" applyBorder="1" applyFont="1" applyNumberFormat="1" applyFill="1" applyProtection="1"/>
    <xf xxid="879" numFmtId="0" fontId="17" fillId="0" borderId="0" xfId="23" applyAlignment="1" applyBorder="1" applyFont="1" applyNumberFormat="1" applyFill="1" applyProtection="1"/>
    <xf xxid="880" numFmtId="165" fontId="1" fillId="0" borderId="0" xfId="24" applyAlignment="1" applyBorder="1" applyFont="1" applyNumberFormat="1" applyFill="1" applyProtection="1">
      <alignment horizontal="right"/>
    </xf>
    <xf xxid="881" numFmtId="0" fontId="1" fillId="0" borderId="0" xfId="23" applyAlignment="1" applyBorder="1" applyFont="1" applyNumberFormat="1" applyFill="1" applyProtection="1"/>
    <xf xxid="882" numFmtId="0" fontId="88" fillId="0" borderId="0" xfId="23" applyAlignment="1" applyBorder="1" applyFont="1" applyNumberFormat="1" applyFill="1" applyProtection="1"/>
    <xf xxid="883" numFmtId="0" fontId="89" fillId="21" borderId="79" xfId="23" applyAlignment="1" applyBorder="1" applyFont="1" applyNumberFormat="1" applyFill="1" applyProtection="1">
      <alignment horizontal="center" vertical="center" wrapText="1"/>
    </xf>
    <xf xxid="884" numFmtId="165" fontId="5" fillId="0" borderId="80" xfId="24" applyAlignment="1" applyBorder="1" applyFont="1" applyNumberFormat="1" applyFill="1" applyProtection="1">
      <alignment horizontal="center" vertical="center" wrapText="1"/>
    </xf>
    <xf xxid="885" numFmtId="165" fontId="5" fillId="0" borderId="81" xfId="24" applyAlignment="1" applyBorder="1" applyFont="1" applyNumberFormat="1" applyFill="1" applyProtection="1">
      <alignment horizontal="center" vertical="center" wrapText="1"/>
    </xf>
    <xf xxid="886" numFmtId="0" fontId="86" fillId="0" borderId="0" xfId="23" applyAlignment="1" applyBorder="1" applyFont="1" applyNumberFormat="1" applyFill="1" applyProtection="1">
      <alignment horizontal="center" vertical="center"/>
    </xf>
    <xf xxid="887" numFmtId="0" fontId="89" fillId="21" borderId="82" xfId="23" applyAlignment="1" applyBorder="1" applyFont="1" applyNumberFormat="1" applyFill="1" applyProtection="1">
      <alignment horizontal="center" vertical="center" wrapText="1"/>
    </xf>
    <xf xxid="888" numFmtId="165" fontId="5" fillId="0" borderId="55" xfId="24" applyAlignment="1" applyBorder="1" applyFont="1" applyNumberFormat="1" applyFill="1" applyProtection="1">
      <alignment horizontal="center" vertical="center" wrapText="1"/>
    </xf>
    <xf xxid="889" numFmtId="165" fontId="5" fillId="0" borderId="83" xfId="24" applyAlignment="1" applyBorder="1" applyFont="1" applyNumberFormat="1" applyFill="1" applyProtection="1">
      <alignment horizontal="center" vertical="center" wrapText="1"/>
    </xf>
    <xf xxid="890" numFmtId="165" fontId="75" fillId="21" borderId="84" xfId="24" applyAlignment="1" applyBorder="1" applyFont="1" applyNumberFormat="1" applyFill="1" applyProtection="1">
      <alignment horizontal="center"/>
    </xf>
    <xf xxid="891" numFmtId="4" fontId="2" fillId="0" borderId="7" xfId="23" applyAlignment="1" applyBorder="1" applyFont="1" applyNumberFormat="1" applyFill="1" applyProtection="1">
      <alignment vertical="center" wrapText="1"/>
    </xf>
    <xf xxid="892" numFmtId="165" fontId="0" fillId="0" borderId="0" xfId="24" applyAlignment="1" applyBorder="1" applyFont="1" applyNumberFormat="1" applyFill="1" applyProtection="1">
      <alignment horizontal="center"/>
    </xf>
    <xf xxid="893" numFmtId="0" fontId="76" fillId="21" borderId="85" xfId="23" applyAlignment="1" applyBorder="1" applyFont="1" applyNumberFormat="1" applyFill="1" applyProtection="1">
      <alignment horizontal="center" vertical="center" wrapText="1"/>
    </xf>
    <xf xxid="894" numFmtId="4" fontId="2" fillId="0" borderId="7" xfId="23" applyAlignment="1" applyBorder="1" applyFont="1" applyNumberFormat="1" applyFill="1" applyProtection="1">
      <alignment horizontal="right" vertical="center" wrapText="1" indent="1"/>
    </xf>
    <xf xxid="895" numFmtId="4" fontId="2" fillId="22" borderId="7" xfId="23" applyAlignment="1" applyBorder="1" applyFont="1" applyNumberFormat="1" applyFill="1" applyProtection="1">
      <alignment horizontal="right" vertical="center" wrapText="1" indent="1"/>
    </xf>
    <xf xxid="896" numFmtId="4" fontId="2" fillId="7" borderId="7" xfId="23" applyAlignment="1" applyBorder="1" applyFont="1" applyNumberFormat="1" applyFill="1" applyProtection="1">
      <alignment horizontal="right" vertical="center" wrapText="1" indent="1"/>
    </xf>
    <xf xxid="897" numFmtId="16" fontId="76" fillId="21" borderId="86" xfId="23" applyAlignment="1" applyBorder="1" applyFont="1" applyNumberFormat="1" applyFill="1" applyProtection="1">
      <alignment horizontal="center" vertical="center" wrapText="1"/>
    </xf>
    <xf xxid="898" numFmtId="4" fontId="2" fillId="22" borderId="24" xfId="23" applyAlignment="1" applyBorder="1" applyFont="1" applyNumberFormat="1" applyFill="1" applyProtection="1">
      <alignment horizontal="right" vertical="center" wrapText="1" indent="1"/>
    </xf>
    <xf xxid="899" numFmtId="165" fontId="75" fillId="21" borderId="87" xfId="24" applyAlignment="1" applyBorder="1" applyFont="1" applyNumberFormat="1" applyFill="1" applyProtection="1">
      <alignment horizontal="center"/>
    </xf>
    <xf xxid="900" numFmtId="165" fontId="2" fillId="0" borderId="7" xfId="24" applyAlignment="1" applyBorder="1" applyFont="1" applyNumberFormat="1" applyFill="1" applyProtection="1">
      <alignment horizontal="center"/>
    </xf>
    <xf xxid="901" numFmtId="165" fontId="2" fillId="0" borderId="88" xfId="24" applyAlignment="1" applyBorder="1" applyFont="1" applyNumberFormat="1" applyFill="1" applyProtection="1">
      <alignment horizontal="center"/>
    </xf>
    <xf xxid="902" numFmtId="165" fontId="2" fillId="0" borderId="15" xfId="24" applyAlignment="1" applyBorder="1" applyFont="1" applyNumberFormat="1" applyFill="1" applyProtection="1">
      <alignment horizontal="center"/>
    </xf>
    <xf xxid="903" numFmtId="165" fontId="2" fillId="0" borderId="89" xfId="24" applyAlignment="1" applyBorder="1" applyFont="1" applyNumberFormat="1" applyFill="1" applyProtection="1">
      <alignment horizontal="center"/>
    </xf>
    <xf xxid="904" numFmtId="165" fontId="75" fillId="21" borderId="90" xfId="24" applyAlignment="1" applyBorder="1" applyFont="1" applyNumberFormat="1" applyFill="1" applyProtection="1">
      <alignment horizontal="center"/>
    </xf>
    <xf xxid="905" numFmtId="165" fontId="2" fillId="0" borderId="91" xfId="24" applyAlignment="1" applyBorder="1" applyFont="1" applyNumberFormat="1" applyFill="1" applyProtection="1">
      <alignment horizontal="center"/>
    </xf>
    <xf xxid="906" numFmtId="165" fontId="2" fillId="0" borderId="92" xfId="24" applyAlignment="1" applyBorder="1" applyFont="1" applyNumberFormat="1" applyFill="1" applyProtection="1">
      <alignment horizontal="center"/>
    </xf>
    <xf xxid="907" numFmtId="0" fontId="89" fillId="21" borderId="66" xfId="23" applyAlignment="1" applyBorder="1" applyFont="1" applyNumberFormat="1" applyFill="1" applyProtection="1">
      <alignment horizontal="center" vertical="center" wrapText="1"/>
    </xf>
    <xf xxid="908" numFmtId="0" fontId="89" fillId="0" borderId="93" xfId="23" applyAlignment="1" applyBorder="1" applyFont="1" applyNumberFormat="1" applyFill="1" applyProtection="1">
      <alignment horizontal="center" vertical="center" wrapText="1"/>
    </xf>
    <xf xxid="909" numFmtId="165" fontId="5" fillId="0" borderId="7" xfId="24" applyAlignment="1" applyBorder="1" applyFont="1" applyNumberFormat="1" applyFill="1" applyProtection="1">
      <alignment horizontal="center" vertical="center" wrapText="1"/>
    </xf>
    <xf xxid="910" numFmtId="165" fontId="5" fillId="0" borderId="88" xfId="24" applyAlignment="1" applyBorder="1" applyFont="1" applyNumberFormat="1" applyFill="1" applyProtection="1">
      <alignment horizontal="center" vertical="center" wrapText="1"/>
    </xf>
    <xf xxid="911" numFmtId="165" fontId="75" fillId="21" borderId="93" xfId="24" applyAlignment="1" applyBorder="1" applyFont="1" applyNumberFormat="1" applyFill="1" applyProtection="1">
      <alignment horizontal="center"/>
    </xf>
    <xf xxid="912" numFmtId="165" fontId="1" fillId="0" borderId="7" xfId="24" applyAlignment="1" applyBorder="1" applyFont="1" applyNumberFormat="1" applyFill="1" applyProtection="1">
      <alignment horizontal="right"/>
    </xf>
    <xf xxid="913" numFmtId="165" fontId="1" fillId="0" borderId="88" xfId="24" applyAlignment="1" applyBorder="1" applyFont="1" applyNumberFormat="1" applyFill="1" applyProtection="1">
      <alignment horizontal="right"/>
    </xf>
    <xf xxid="914" numFmtId="165" fontId="75" fillId="0" borderId="93" xfId="24" applyAlignment="1" applyBorder="1" applyFont="1" applyNumberFormat="1" applyFill="1" applyProtection="1">
      <alignment horizontal="center"/>
    </xf>
    <xf xxid="915" numFmtId="17" fontId="1" fillId="0" borderId="93" xfId="23" applyAlignment="1" applyBorder="1" applyFont="1" applyNumberFormat="1" applyFill="1" applyProtection="1"/>
    <xf xxid="916" numFmtId="0" fontId="1" fillId="0" borderId="93" xfId="23" applyAlignment="1" applyBorder="1" applyFont="1" applyNumberFormat="1" applyFill="1" applyProtection="1"/>
    <xf xxid="917" numFmtId="0" fontId="1" fillId="0" borderId="67" xfId="23" applyAlignment="1" applyBorder="1" applyFont="1" applyNumberFormat="1" applyFill="1" applyProtection="1"/>
    <xf xxid="918" numFmtId="165" fontId="1" fillId="0" borderId="91" xfId="24" applyAlignment="1" applyBorder="1" applyFont="1" applyNumberFormat="1" applyFill="1" applyProtection="1">
      <alignment horizontal="right"/>
    </xf>
    <xf xxid="919" numFmtId="165" fontId="1" fillId="0" borderId="92" xfId="24" applyAlignment="1" applyBorder="1" applyFont="1" applyNumberFormat="1" applyFill="1" applyProtection="1">
      <alignment horizontal="right"/>
    </xf>
    <xf xxid="920" numFmtId="15" fontId="2" fillId="0" borderId="0" xfId="15" applyAlignment="1" applyBorder="1" applyFont="1" applyNumberFormat="1" applyFill="1" applyProtection="1">
      <alignment horizontal="center"/>
    </xf>
    <xf xxid="921" numFmtId="17" fontId="2" fillId="0" borderId="0" xfId="15" applyAlignment="1" applyBorder="1" applyFont="1" applyNumberFormat="1" applyFill="1" applyProtection="1">
      <alignment horizontal="center"/>
    </xf>
    <xf xxid="922" numFmtId="0" fontId="2" fillId="0" borderId="0" xfId="0" applyAlignment="1" applyBorder="1" applyFont="1" applyNumberFormat="1" applyFill="1" applyProtection="1">
      <alignment horizontal="center"/>
    </xf>
    <xf xxid="923" numFmtId="17" fontId="2" fillId="0" borderId="0" xfId="0" applyAlignment="1" applyBorder="1" applyFont="1" applyNumberFormat="1" applyFill="1" applyProtection="1">
      <alignment horizontal="center"/>
    </xf>
    <xf xxid="924" numFmtId="4" fontId="2" fillId="0" borderId="0" xfId="15" applyAlignment="1" applyBorder="1" applyFont="1" applyNumberFormat="1" applyFill="1" applyProtection="1">
      <alignment horizontal="right" vertical="center"/>
    </xf>
    <xf xxid="925" numFmtId="167" fontId="2" fillId="0" borderId="0" xfId="1" applyAlignment="1" applyBorder="1" applyFont="1" applyNumberFormat="1" applyFill="1" applyProtection="1">
      <alignment horizontal="right"/>
    </xf>
    <xf xxid="926" numFmtId="169" fontId="17" fillId="7" borderId="35" xfId="1" applyAlignment="1" applyBorder="1" applyFont="1" applyNumberFormat="1" applyFill="1" applyProtection="1">
      <protection hidden="1"/>
    </xf>
    <xf xxid="927" numFmtId="0" fontId="75" fillId="12" borderId="0" xfId="4" applyAlignment="1" applyBorder="1" applyFont="1" applyNumberFormat="1" applyFill="1" applyProtection="1">
      <alignment wrapText="1"/>
    </xf>
    <xf xxid="928" numFmtId="0" fontId="2" fillId="13" borderId="0" xfId="4" applyAlignment="1" applyBorder="1" applyFont="1" applyNumberFormat="1" applyFill="1" applyProtection="1">
      <alignment wrapText="1"/>
    </xf>
    <xf xxid="929" numFmtId="167" fontId="2" fillId="5" borderId="7" xfId="1" applyAlignment="1" applyBorder="1" applyFont="1" applyNumberFormat="1" applyFill="1" applyProtection="1">
      <alignment wrapText="1"/>
      <protection locked="0"/>
    </xf>
    <xf xxid="930" numFmtId="167" fontId="2" fillId="5" borderId="55" xfId="1" applyAlignment="1" applyBorder="1" applyFont="1" applyNumberFormat="1" applyFill="1" applyProtection="1">
      <alignment wrapText="1"/>
      <protection locked="0"/>
    </xf>
    <xf xxid="931" numFmtId="167" fontId="2" fillId="13" borderId="0" xfId="1" applyAlignment="1" applyBorder="1" applyFont="1" applyNumberFormat="1" applyFill="1" applyProtection="1">
      <alignment wrapText="1"/>
    </xf>
    <xf xxid="932" numFmtId="167" fontId="5" fillId="13" borderId="0" xfId="1" applyAlignment="1" applyBorder="1" applyFont="1" applyNumberFormat="1" applyFill="1" applyProtection="1">
      <alignment wrapText="1"/>
    </xf>
    <xf xxid="933" numFmtId="0" fontId="5" fillId="13" borderId="0" xfId="4" applyAlignment="1" applyBorder="1" applyFont="1" applyNumberFormat="1" applyFill="1" applyProtection="1">
      <alignment wrapText="1"/>
    </xf>
    <xf xxid="934" numFmtId="0" fontId="3" fillId="20" borderId="0" xfId="4" applyAlignment="1" applyBorder="1" applyFont="1" applyNumberFormat="1" applyFill="1" applyProtection="1">
      <alignment wrapText="1"/>
    </xf>
    <xf xxid="935" numFmtId="0" fontId="2" fillId="0" borderId="0" xfId="4" applyAlignment="1" applyBorder="1" applyFont="1" applyNumberFormat="1" applyFill="1" applyProtection="1">
      <alignment wrapText="1"/>
      <protection locked="0"/>
    </xf>
    <xf xxid="936" numFmtId="0" fontId="2" fillId="0" borderId="0" xfId="16" applyAlignment="1" applyBorder="1" applyFont="1" applyNumberFormat="1" applyFill="1" applyProtection="1"/>
    <xf xxid="937" numFmtId="0" fontId="6" fillId="0" borderId="0" xfId="16" applyAlignment="1" applyBorder="1" applyFont="1" applyNumberFormat="1" applyFill="1" applyProtection="1"/>
    <xf xxid="938" numFmtId="0" fontId="6" fillId="0" borderId="0" xfId="16" applyAlignment="1" applyBorder="1" applyFont="1" applyNumberFormat="1" applyFill="1" applyProtection="1">
      <alignment vertical="center"/>
    </xf>
    <xf xxid="939" numFmtId="0" fontId="9" fillId="0" borderId="0" xfId="16" applyAlignment="1" applyBorder="1" applyFont="1" applyNumberFormat="1" applyFill="1" applyProtection="1"/>
    <xf xxid="940" numFmtId="0" fontId="3" fillId="0" borderId="4" xfId="16" applyAlignment="1" applyBorder="1" applyFont="1" applyNumberFormat="1" applyFill="1" applyProtection="1">
      <alignment vertical="center"/>
    </xf>
    <xf xxid="941" numFmtId="0" fontId="3" fillId="0" borderId="0" xfId="16" applyAlignment="1" applyBorder="1" applyFont="1" applyNumberFormat="1" applyFill="1" applyProtection="1">
      <alignment vertical="center"/>
    </xf>
    <xf xxid="942" numFmtId="0" fontId="9" fillId="0" borderId="0" xfId="16" applyAlignment="1" applyBorder="1" applyFont="1" applyNumberFormat="1" applyFill="1" applyProtection="1">
      <alignment vertical="center"/>
    </xf>
    <xf xxid="943" numFmtId="0" fontId="2" fillId="0" borderId="4" xfId="16" applyAlignment="1" applyBorder="1" applyFont="1" applyNumberFormat="1" applyFill="1" applyProtection="1">
      <alignment vertical="center"/>
    </xf>
    <xf xxid="944" numFmtId="0" fontId="3" fillId="0" borderId="0" xfId="16" applyAlignment="1" applyBorder="1" applyFont="1" applyNumberFormat="1" applyFill="1" applyProtection="1"/>
    <xf xxid="945" numFmtId="0" fontId="17" fillId="0" borderId="0" xfId="16" applyAlignment="1" applyBorder="1" applyFont="1" applyNumberFormat="1" applyFill="1" applyProtection="1"/>
    <xf xxid="946" numFmtId="0" fontId="13" fillId="0" borderId="0" xfId="16" applyAlignment="1" applyBorder="1" applyFont="1" applyNumberFormat="1" applyFill="1" applyProtection="1"/>
    <xf xxid="947" numFmtId="0" fontId="56" fillId="0" borderId="0" xfId="16" applyAlignment="1" applyBorder="1" applyFont="1" applyNumberFormat="1" applyFill="1" applyProtection="1"/>
    <xf xxid="948" numFmtId="169" fontId="17" fillId="0" borderId="22" xfId="16" applyAlignment="1" applyBorder="1" applyFont="1" applyNumberFormat="1" applyFill="1" applyProtection="1">
      <alignment vertical="center"/>
    </xf>
    <xf xxid="949" numFmtId="0" fontId="20" fillId="0" borderId="10" xfId="16" applyAlignment="1" applyBorder="1" applyFont="1" applyNumberFormat="1" applyFill="1" applyProtection="1">
      <alignment vertical="top"/>
    </xf>
    <xf xxid="950" numFmtId="0" fontId="20" fillId="0" borderId="0" xfId="16" applyAlignment="1" applyBorder="1" applyFont="1" applyNumberFormat="1" applyFill="1" applyProtection="1">
      <alignment vertical="top"/>
    </xf>
    <xf xxid="951" numFmtId="0" fontId="20" fillId="0" borderId="12" xfId="16" applyAlignment="1" applyBorder="1" applyFont="1" applyNumberFormat="1" applyFill="1" applyProtection="1">
      <alignment vertical="top"/>
    </xf>
    <xf xxid="952" numFmtId="0" fontId="3" fillId="0" borderId="12" xfId="16" applyAlignment="1" applyBorder="1" applyFont="1" applyNumberFormat="1" applyFill="1" applyProtection="1"/>
    <xf xxid="953" numFmtId="169" fontId="17" fillId="0" borderId="12" xfId="16" applyAlignment="1" applyBorder="1" applyFont="1" applyNumberFormat="1" applyFill="1" applyProtection="1">
      <alignment vertical="center"/>
    </xf>
    <xf xxid="954" numFmtId="169" fontId="17" fillId="0" borderId="12" xfId="16" applyAlignment="1" applyBorder="1" applyFont="1" applyNumberFormat="1" applyFill="1" applyProtection="1"/>
    <xf xxid="955" numFmtId="0" fontId="20" fillId="0" borderId="0" xfId="16" applyAlignment="1" applyBorder="1" applyFont="1" applyNumberFormat="1" applyFill="1" applyProtection="1">
      <alignment vertical="center"/>
    </xf>
    <xf xxid="956" numFmtId="0" fontId="20" fillId="0" borderId="12" xfId="16" applyAlignment="1" applyBorder="1" applyFont="1" applyNumberFormat="1" applyFill="1" applyProtection="1">
      <alignment vertical="center"/>
    </xf>
    <xf xxid="957" numFmtId="0" fontId="20" fillId="0" borderId="10" xfId="16" applyAlignment="1" applyBorder="1" applyFont="1" applyNumberFormat="1" applyFill="1" applyProtection="1">
      <alignment vertical="center"/>
    </xf>
    <xf xxid="958" numFmtId="169" fontId="17" fillId="16" borderId="12" xfId="16" applyAlignment="1" applyBorder="1" applyFont="1" applyNumberFormat="1" applyFill="1" applyProtection="1">
      <alignment vertical="center"/>
    </xf>
    <xf xxid="959" numFmtId="0" fontId="20" fillId="0" borderId="10" xfId="16" applyAlignment="1" applyBorder="1" applyFont="1" applyNumberFormat="1" applyFill="1" applyProtection="1">
      <alignment horizontal="center" vertical="top"/>
    </xf>
    <xf xxid="960" numFmtId="0" fontId="35" fillId="0" borderId="0" xfId="16" applyAlignment="1" applyBorder="1" applyFont="1" applyNumberFormat="1" applyFill="1" applyProtection="1">
      <alignment horizontal="center" vertical="center"/>
    </xf>
    <xf xxid="961" numFmtId="0" fontId="35" fillId="0" borderId="0" xfId="16" applyAlignment="1" applyBorder="1" applyFont="1" applyNumberFormat="1" applyFill="1" applyProtection="1">
      <alignment vertical="center"/>
    </xf>
    <xf xxid="962" numFmtId="0" fontId="35" fillId="0" borderId="10" xfId="16" applyAlignment="1" applyBorder="1" applyFont="1" applyNumberFormat="1" applyFill="1" applyProtection="1">
      <alignment horizontal="center" vertical="center"/>
    </xf>
    <xf xxid="963" numFmtId="0" fontId="57" fillId="0" borderId="10" xfId="16" applyAlignment="1" applyBorder="1" applyFont="1" applyNumberFormat="1" applyFill="1" applyProtection="1">
      <alignment vertical="top"/>
    </xf>
    <xf xxid="964" numFmtId="169" fontId="17" fillId="0" borderId="20" xfId="16" applyAlignment="1" applyBorder="1" applyFont="1" applyNumberFormat="1" applyFill="1" applyProtection="1">
      <alignment vertical="center"/>
    </xf>
    <xf xxid="965" numFmtId="0" fontId="2" fillId="0" borderId="19" xfId="16" applyAlignment="1" applyBorder="1" applyFont="1" applyNumberFormat="1" applyFill="1" applyProtection="1"/>
    <xf xxid="966" numFmtId="0" fontId="2" fillId="0" borderId="8" xfId="16" applyAlignment="1" applyBorder="1" applyFont="1" applyNumberFormat="1" applyFill="1" applyProtection="1"/>
    <xf xxid="967" numFmtId="166" fontId="17" fillId="0" borderId="10" xfId="16" applyAlignment="1" applyBorder="1" applyFont="1" applyNumberFormat="1" applyFill="1" applyProtection="1">
      <alignment vertical="center"/>
    </xf>
    <xf xxid="968" numFmtId="166" fontId="17" fillId="0" borderId="0" xfId="16" applyAlignment="1" applyBorder="1" applyFont="1" applyNumberFormat="1" applyFill="1" applyProtection="1">
      <alignment vertical="center"/>
    </xf>
    <xf xxid="969" numFmtId="166" fontId="17" fillId="0" borderId="0" xfId="16" applyAlignment="1" applyBorder="1" applyFont="1" applyNumberFormat="1" applyFill="1" applyProtection="1"/>
    <xf xxid="970" numFmtId="169" fontId="17" fillId="0" borderId="0" xfId="16" applyAlignment="1" applyBorder="1" applyFont="1" applyNumberFormat="1" applyFill="1" applyProtection="1">
      <alignment horizontal="center"/>
    </xf>
    <xf xxid="971" numFmtId="169" fontId="17" fillId="0" borderId="0" xfId="16" applyAlignment="1" applyBorder="1" applyFont="1" applyNumberFormat="1" applyFill="1" applyProtection="1"/>
    <xf xxid="972" numFmtId="169" fontId="17" fillId="0" borderId="0" xfId="16" applyAlignment="1" applyBorder="1" applyFont="1" applyNumberFormat="1" applyFill="1" applyProtection="1">
      <alignment vertical="center" wrapText="1"/>
    </xf>
    <xf xxid="973" numFmtId="169" fontId="17" fillId="0" borderId="12" xfId="16" applyAlignment="1" applyBorder="1" applyFont="1" applyNumberFormat="1" applyFill="1" applyProtection="1">
      <alignment vertical="center" wrapText="1"/>
    </xf>
    <xf xxid="974" numFmtId="169" fontId="17" fillId="0" borderId="0" xfId="16" applyAlignment="1" applyBorder="1" applyFont="1" applyNumberFormat="1" applyFill="1" applyProtection="1">
      <alignment vertical="center"/>
    </xf>
    <xf xxid="975" numFmtId="0" fontId="17" fillId="0" borderId="0" xfId="16" applyAlignment="1" applyBorder="1" applyFont="1" applyNumberFormat="1" applyFill="1" applyProtection="1">
      <alignment horizontal="center"/>
    </xf>
    <xf xxid="976" numFmtId="0" fontId="17" fillId="0" borderId="0" xfId="16" applyAlignment="1" applyBorder="1" applyFont="1" applyNumberFormat="1" applyFill="1" applyProtection="1">
      <alignment horizontal="left"/>
    </xf>
    <xf xxid="977" numFmtId="0" fontId="9" fillId="0" borderId="0" xfId="16" applyAlignment="1" applyBorder="1" applyFont="1" applyNumberFormat="1" applyFill="1" applyProtection="1">
      <alignment horizontal="center"/>
    </xf>
    <xf xxid="978" numFmtId="0" fontId="3" fillId="0" borderId="8" xfId="16" applyAlignment="1" applyBorder="1" applyFont="1" applyNumberFormat="1" applyFill="1" applyProtection="1">
      <alignment vertical="center"/>
    </xf>
    <xf xxid="979" numFmtId="0" fontId="3" fillId="0" borderId="20" xfId="16" applyAlignment="1" applyBorder="1" applyFont="1" applyNumberFormat="1" applyFill="1" applyProtection="1">
      <alignment vertical="center"/>
    </xf>
    <xf xxid="980" numFmtId="0" fontId="3" fillId="0" borderId="10" xfId="16" applyAlignment="1" applyBorder="1" applyFont="1" applyNumberFormat="1" applyFill="1" applyProtection="1"/>
    <xf xxid="981" numFmtId="0" fontId="3" fillId="0" borderId="10" xfId="16" applyAlignment="1" applyBorder="1" applyFont="1" applyNumberFormat="1" applyFill="1" applyProtection="1">
      <alignment vertical="center"/>
    </xf>
    <xf xxid="982" numFmtId="0" fontId="3" fillId="0" borderId="12" xfId="16" applyAlignment="1" applyBorder="1" applyFont="1" applyNumberFormat="1" applyFill="1" applyProtection="1">
      <alignment vertical="center"/>
    </xf>
    <xf xxid="983" numFmtId="0" fontId="17" fillId="0" borderId="23" xfId="16" applyAlignment="1" applyBorder="1" applyFont="1" applyNumberFormat="1" applyFill="1" applyProtection="1">
      <alignment vertical="center"/>
    </xf>
    <xf xxid="984" numFmtId="0" fontId="17" fillId="0" borderId="9" xfId="16" applyAlignment="1" applyBorder="1" applyFont="1" applyNumberFormat="1" applyFill="1" applyProtection="1">
      <alignment vertical="center"/>
    </xf>
    <xf xxid="985" numFmtId="0" fontId="17" fillId="0" borderId="10" xfId="16" applyAlignment="1" applyBorder="1" applyFont="1" applyNumberFormat="1" applyFill="1" applyProtection="1">
      <alignment vertical="center"/>
    </xf>
    <xf xxid="986" numFmtId="0" fontId="17" fillId="0" borderId="0" xfId="16" applyAlignment="1" applyBorder="1" applyFont="1" applyNumberFormat="1" applyFill="1" applyProtection="1">
      <alignment vertical="center"/>
    </xf>
    <xf xxid="987" numFmtId="169" fontId="17" fillId="0" borderId="12" xfId="16" applyAlignment="1" applyBorder="1" applyFont="1" applyNumberFormat="1" applyFill="1" applyProtection="1">
      <alignment horizontal="center" vertical="center"/>
      <protection locked="0"/>
    </xf>
    <xf xxid="988" numFmtId="0" fontId="17" fillId="0" borderId="0" xfId="16" applyAlignment="1" applyBorder="1" applyFont="1" applyNumberFormat="1" applyFill="1" applyProtection="1">
      <alignment horizontal="right" vertical="center"/>
    </xf>
    <xf xxid="989" numFmtId="0" fontId="17" fillId="0" borderId="12" xfId="16" applyAlignment="1" applyBorder="1" applyFont="1" applyNumberFormat="1" applyFill="1" applyProtection="1">
      <alignment horizontal="right" vertical="center"/>
    </xf>
    <xf xxid="990" numFmtId="169" fontId="17" fillId="0" borderId="10" xfId="16" applyAlignment="1" applyBorder="1" applyFont="1" applyNumberFormat="1" applyFill="1" applyProtection="1">
      <alignment vertical="center"/>
    </xf>
    <xf xxid="991" numFmtId="169" fontId="3" fillId="0" borderId="0" xfId="16" applyAlignment="1" applyBorder="1" applyFont="1" applyNumberFormat="1" applyFill="1" applyProtection="1">
      <alignment vertical="center"/>
      <protection locked="0"/>
    </xf>
    <xf xxid="992" numFmtId="169" fontId="3" fillId="0" borderId="12" xfId="16" applyAlignment="1" applyBorder="1" applyFont="1" applyNumberFormat="1" applyFill="1" applyProtection="1">
      <alignment vertical="center"/>
      <protection locked="0"/>
    </xf>
    <xf xxid="993" numFmtId="169" fontId="3" fillId="0" borderId="10" xfId="16" applyAlignment="1" applyBorder="1" applyFont="1" applyNumberFormat="1" applyFill="1" applyProtection="1">
      <alignment horizontal="right" vertical="center"/>
      <protection locked="0"/>
    </xf>
    <xf xxid="994" numFmtId="169" fontId="3" fillId="0" borderId="0" xfId="16" applyAlignment="1" applyBorder="1" applyFont="1" applyNumberFormat="1" applyFill="1" applyProtection="1">
      <alignment horizontal="right" vertical="center"/>
      <protection locked="0"/>
    </xf>
    <xf xxid="995" numFmtId="169" fontId="3" fillId="0" borderId="10" xfId="16" applyAlignment="1" applyBorder="1" applyFont="1" applyNumberFormat="1" applyFill="1" applyProtection="1">
      <alignment vertical="center"/>
    </xf>
    <xf xxid="996" numFmtId="169" fontId="3" fillId="0" borderId="12" xfId="16" applyAlignment="1" applyBorder="1" applyFont="1" applyNumberFormat="1" applyFill="1" applyProtection="1">
      <alignment vertical="center"/>
    </xf>
    <xf xxid="997" numFmtId="169" fontId="3" fillId="0" borderId="8" xfId="16" applyAlignment="1" applyBorder="1" applyFont="1" applyNumberFormat="1" applyFill="1" applyProtection="1">
      <alignment horizontal="right" vertical="center"/>
    </xf>
    <xf xxid="998" numFmtId="0" fontId="53" fillId="0" borderId="27" xfId="16" applyAlignment="1" applyBorder="1" applyFont="1" applyNumberFormat="1" applyFill="1" applyProtection="1">
      <alignment vertical="center"/>
    </xf>
    <xf xxid="999" numFmtId="0" fontId="41" fillId="0" borderId="0" xfId="25" applyAlignment="1" applyBorder="1" applyFont="1" applyNumberFormat="1" applyFill="1" applyProtection="1"/>
    <xf xxid="1000" numFmtId="0" fontId="5" fillId="0" borderId="0" xfId="25" applyAlignment="1" applyBorder="1" applyFont="1" applyNumberFormat="1" applyFill="1" applyProtection="1">
      <alignment horizontal="center"/>
    </xf>
    <xf xxid="1001" numFmtId="167" fontId="2" fillId="0" borderId="0" xfId="25" applyAlignment="1" applyBorder="1" applyFont="1" applyNumberFormat="1" applyFill="1" applyProtection="1">
      <alignment vertical="center"/>
    </xf>
    <xf xxid="1002" numFmtId="0" fontId="41" fillId="0" borderId="0" xfId="25" applyAlignment="1" applyBorder="1" applyFont="1" applyNumberFormat="1" applyFill="1" applyProtection="1">
      <alignment horizontal="left"/>
    </xf>
    <xf xxid="1003" numFmtId="167" fontId="2" fillId="0" borderId="0" xfId="25" applyAlignment="1" applyBorder="1" applyFont="1" applyNumberFormat="1" applyFill="1" applyProtection="1">
      <alignment horizontal="center" vertical="center"/>
    </xf>
    <xf xxid="1004" numFmtId="167" fontId="5" fillId="0" borderId="0" xfId="25" applyAlignment="1" applyBorder="1" applyFont="1" applyNumberFormat="1" applyFill="1" applyProtection="1">
      <alignment horizontal="center" vertical="center"/>
    </xf>
    <xf xxid="1005" numFmtId="0" fontId="2" fillId="0" borderId="0" xfId="25" applyAlignment="1" applyBorder="1" applyFont="1" applyNumberFormat="1" applyFill="1" applyProtection="1">
      <alignment horizontal="center"/>
    </xf>
    <xf xxid="1006" numFmtId="4" fontId="2" fillId="0" borderId="0" xfId="25" applyAlignment="1" applyBorder="1" applyFont="1" applyNumberFormat="1" applyFill="1" applyProtection="1">
      <alignment horizontal="right" vertical="center"/>
    </xf>
    <xf xxid="1007" numFmtId="167" fontId="2" fillId="0" borderId="0" xfId="26" applyAlignment="1" applyBorder="1" applyFont="1" applyNumberFormat="1" applyFill="1" applyProtection="1">
      <alignment horizontal="center" vertical="center"/>
    </xf>
    <xf xxid="1008" numFmtId="4" fontId="2" fillId="0" borderId="0" xfId="26" applyAlignment="1" applyBorder="1" applyFont="1" applyNumberFormat="1" applyFill="1" applyProtection="1">
      <alignment horizontal="right" vertical="center"/>
    </xf>
    <xf xxid="1009" numFmtId="2" fontId="2" fillId="0" borderId="0" xfId="25" applyAlignment="1" applyBorder="1" applyFont="1" applyNumberFormat="1" applyFill="1" applyProtection="1"/>
    <xf xxid="1010" numFmtId="15" fontId="2" fillId="0" borderId="0" xfId="25" applyAlignment="1" applyBorder="1" applyFont="1" applyNumberFormat="1" applyFill="1" applyProtection="1">
      <alignment horizontal="center"/>
    </xf>
    <xf xxid="1011" numFmtId="0" fontId="3" fillId="0" borderId="0" xfId="16" applyAlignment="1" applyBorder="1" applyFont="1" applyNumberFormat="1" applyFill="1" applyProtection="1">
      <alignment horizontal="center" vertical="center"/>
    </xf>
    <xf xxid="1012" numFmtId="0" fontId="3" fillId="0" borderId="0" xfId="16" applyAlignment="1" applyBorder="1" applyFont="1" applyNumberFormat="1" applyFill="1" applyProtection="1">
      <alignment horizontal="left" vertical="center"/>
    </xf>
    <xf xxid="1013" numFmtId="0" fontId="3" fillId="0" borderId="34" xfId="16" applyAlignment="1" applyBorder="1" applyFont="1" applyNumberFormat="1" applyFill="1" applyProtection="1">
      <alignment horizontal="left" vertical="center"/>
    </xf>
    <xf xxid="1014" numFmtId="0" fontId="2" fillId="0" borderId="0" xfId="16" applyAlignment="1" applyBorder="1" applyFont="1" applyNumberFormat="1" applyFill="1" applyProtection="1">
      <alignment vertical="center"/>
    </xf>
    <xf xxid="1015" numFmtId="0" fontId="15" fillId="0" borderId="0" xfId="16" applyAlignment="1" applyBorder="1" applyFont="1" applyNumberFormat="1" applyFill="1" applyProtection="1">
      <alignment vertical="center"/>
    </xf>
    <xf xxid="1016" numFmtId="0" fontId="51" fillId="0" borderId="0" xfId="16" applyAlignment="1" applyBorder="1" applyFont="1" applyNumberFormat="1" applyFill="1" applyProtection="1"/>
    <xf xxid="1017" numFmtId="0" fontId="7" fillId="0" borderId="0" xfId="16" applyAlignment="1" applyBorder="1" applyFont="1" applyNumberFormat="1" applyFill="1" applyProtection="1">
      <alignment vertical="top"/>
    </xf>
    <xf xxid="1018" numFmtId="0" fontId="6" fillId="0" borderId="0" xfId="16" applyAlignment="1" applyBorder="1" applyFont="1" applyNumberFormat="1" applyFill="1" applyProtection="1">
      <alignment vertical="top"/>
    </xf>
    <xf xxid="1019" numFmtId="0" fontId="11" fillId="0" borderId="0" xfId="16" applyAlignment="1" applyBorder="1" applyFont="1" applyNumberFormat="1" applyFill="1" applyProtection="1">
      <alignment vertical="top"/>
    </xf>
    <xf xxid="1020" numFmtId="0" fontId="9" fillId="0" borderId="0" xfId="16" applyAlignment="1" applyBorder="1" applyFont="1" applyNumberFormat="1" applyFill="1" applyProtection="1">
      <alignment vertical="top"/>
    </xf>
    <xf xxid="1021" numFmtId="0" fontId="7" fillId="0" borderId="0" xfId="16" applyAlignment="1" applyBorder="1" applyFont="1" applyNumberFormat="1" applyFill="1" applyProtection="1">
      <alignment horizontal="left" vertical="top"/>
    </xf>
    <xf xxid="1022" numFmtId="0" fontId="15" fillId="0" borderId="0" xfId="16" applyAlignment="1" applyBorder="1" applyFont="1" applyNumberFormat="1" applyFill="1" applyProtection="1">
      <alignment vertical="center" wrapText="1"/>
    </xf>
    <xf xxid="1023" numFmtId="0" fontId="52" fillId="0" borderId="0" xfId="16" applyAlignment="1" applyBorder="1" applyFont="1" applyNumberFormat="1" applyFill="1" applyProtection="1"/>
    <xf xxid="1024" numFmtId="0" fontId="6" fillId="0" borderId="12" xfId="16" applyAlignment="1" applyBorder="1" applyFont="1" applyNumberFormat="1" applyFill="1" applyProtection="1"/>
    <xf xxid="1025" numFmtId="0" fontId="6" fillId="0" borderId="8" xfId="16" applyAlignment="1" applyBorder="1" applyFont="1" applyNumberFormat="1" applyFill="1" applyProtection="1">
      <alignment vertical="center"/>
    </xf>
    <xf xxid="1026" numFmtId="0" fontId="52" fillId="0" borderId="0" xfId="16" applyAlignment="1" applyBorder="1" applyFont="1" applyNumberFormat="1" applyFill="1" applyProtection="1">
      <alignment vertical="center"/>
    </xf>
    <xf xxid="1027" numFmtId="0" fontId="9" fillId="0" borderId="0" xfId="16" applyAlignment="1" applyBorder="1" applyFont="1" applyNumberFormat="1" applyFill="1" applyProtection="1">
      <alignment horizontal="center" vertical="center"/>
    </xf>
    <xf xxid="1028" numFmtId="0" fontId="52" fillId="0" borderId="10" xfId="16" applyAlignment="1" applyBorder="1" applyFont="1" applyNumberFormat="1" applyFill="1" applyProtection="1">
      <alignment vertical="center"/>
    </xf>
    <xf xxid="1029" numFmtId="0" fontId="53" fillId="0" borderId="10" xfId="16" applyAlignment="1" applyBorder="1" applyFont="1" applyNumberFormat="1" applyFill="1" applyProtection="1">
      <alignment vertical="center"/>
    </xf>
    <xf xxid="1030" numFmtId="0" fontId="2" fillId="0" borderId="10" xfId="16" applyAlignment="1" applyBorder="1" applyFont="1" applyNumberFormat="1" applyFill="1" applyProtection="1">
      <alignment vertical="center"/>
    </xf>
    <xf xxid="1031" numFmtId="0" fontId="9" fillId="0" borderId="10" xfId="16" applyAlignment="1" applyBorder="1" applyFont="1" applyNumberFormat="1" applyFill="1" applyProtection="1">
      <alignment vertical="center"/>
    </xf>
    <xf xxid="1032" numFmtId="0" fontId="55" fillId="0" borderId="10" xfId="16" applyAlignment="1" applyBorder="1" applyFont="1" applyNumberFormat="1" applyFill="1" applyProtection="1">
      <alignment vertical="center"/>
    </xf>
    <xf xxid="1033" numFmtId="0" fontId="3" fillId="0" borderId="10" xfId="16" applyAlignment="1" applyBorder="1" applyFont="1" applyNumberFormat="1" applyFill="1" applyProtection="1">
      <alignment horizontal="center" vertical="center"/>
    </xf>
    <xf xxid="1034" numFmtId="0" fontId="17" fillId="0" borderId="0" xfId="16" applyAlignment="1" applyBorder="1" applyFont="1" applyNumberFormat="1" applyFill="1" applyProtection="1">
      <alignment horizontal="center" vertical="center"/>
    </xf>
    <xf xxid="1035" numFmtId="169" fontId="17" fillId="0" borderId="10" xfId="16" applyAlignment="1" applyBorder="1" applyFont="1" applyNumberFormat="1" applyFill="1" applyProtection="1">
      <alignment horizontal="center" vertical="center"/>
    </xf>
    <xf xxid="1036" numFmtId="169" fontId="17" fillId="0" borderId="10" xfId="16" applyAlignment="1" applyBorder="1" applyFont="1" applyNumberFormat="1" applyFill="1" applyProtection="1">
      <alignment vertical="center"/>
      <protection locked="0"/>
    </xf>
    <xf xxid="1037" numFmtId="169" fontId="17" fillId="0" borderId="0" xfId="16" applyAlignment="1" applyBorder="1" applyFont="1" applyNumberFormat="1" applyFill="1" applyProtection="1">
      <alignment vertical="center"/>
      <protection locked="0"/>
    </xf>
    <xf xxid="1038" numFmtId="169" fontId="17" fillId="0" borderId="10" xfId="16" applyAlignment="1" applyBorder="1" applyFont="1" applyNumberFormat="1" applyFill="1" applyProtection="1">
      <alignment horizontal="right" vertical="center"/>
      <protection locked="0"/>
    </xf>
    <xf xxid="1039" numFmtId="169" fontId="17" fillId="0" borderId="0" xfId="16" applyAlignment="1" applyBorder="1" applyFont="1" applyNumberFormat="1" applyFill="1" applyProtection="1">
      <alignment horizontal="right" vertical="center"/>
      <protection locked="0"/>
    </xf>
    <xf xxid="1040" numFmtId="169" fontId="3" fillId="0" borderId="0" xfId="16" applyAlignment="1" applyBorder="1" applyFont="1" applyNumberFormat="1" applyFill="1" applyProtection="1">
      <alignment horizontal="right" vertical="center"/>
    </xf>
    <xf xxid="1041" numFmtId="169" fontId="3" fillId="0" borderId="12" xfId="16" applyAlignment="1" applyBorder="1" applyFont="1" applyNumberFormat="1" applyFill="1" applyProtection="1">
      <alignment horizontal="right" vertical="center"/>
    </xf>
    <xf xxid="1042" numFmtId="0" fontId="49" fillId="0" borderId="0" xfId="16" applyAlignment="1" applyBorder="1" applyFont="1" applyNumberFormat="1" applyFill="1" applyProtection="1"/>
    <xf xxid="1043" numFmtId="0" fontId="9" fillId="0" borderId="0" xfId="16" applyAlignment="1" applyBorder="1" applyFont="1" applyNumberFormat="1" applyFill="1" applyProtection="1">
      <alignment horizontal="left" vertical="center"/>
    </xf>
    <xf xxid="1044" numFmtId="0" fontId="53" fillId="0" borderId="27" xfId="16" applyAlignment="1" applyBorder="1" applyFont="1" applyNumberFormat="1" applyFill="1" applyProtection="1">
      <alignment horizontal="left" vertical="center"/>
    </xf>
    <xf xxid="1045" numFmtId="0" fontId="17" fillId="0" borderId="0" xfId="16" applyAlignment="1" applyBorder="1" applyFont="1" applyNumberFormat="1" applyFill="1" applyProtection="1">
      <alignment vertical="top"/>
    </xf>
    <xf xxid="1046" numFmtId="0" fontId="90" fillId="0" borderId="94" xfId="13" applyAlignment="1" applyBorder="1" applyFont="1" applyNumberFormat="1" applyFill="1" applyProtection="1"/>
    <xf xxid="1047" numFmtId="0" fontId="90" fillId="0" borderId="0" xfId="13" applyAlignment="1" applyBorder="1" applyFont="1" applyNumberFormat="1" applyFill="1" applyProtection="1"/>
    <xf xxid="1048" numFmtId="0" fontId="90" fillId="7" borderId="0" xfId="13" applyAlignment="1" applyBorder="1" applyFont="1" applyNumberFormat="1" applyFill="1" applyProtection="1"/>
    <xf xxid="1049" numFmtId="0" fontId="90" fillId="15" borderId="0" xfId="13" applyAlignment="1" applyBorder="1" applyFont="1" applyNumberFormat="1" applyFill="1" applyProtection="1"/>
    <xf xxid="1050" numFmtId="0" fontId="90" fillId="15" borderId="95" xfId="13" applyAlignment="1" applyBorder="1" applyFont="1" applyNumberFormat="1" applyFill="1" applyProtection="1"/>
    <xf xxid="1051" numFmtId="0" fontId="93" fillId="0" borderId="4" xfId="13" applyAlignment="1" applyBorder="1" applyFont="1" applyNumberFormat="1" applyFill="1" applyProtection="1">
      <alignment vertical="top" wrapText="1"/>
    </xf>
    <xf xxid="1052" numFmtId="0" fontId="93" fillId="0" borderId="0" xfId="13" applyAlignment="1" applyBorder="1" applyFont="1" applyNumberFormat="1" applyFill="1" applyProtection="1">
      <alignment vertical="center" wrapText="1"/>
    </xf>
    <xf xxid="1053" numFmtId="0" fontId="90" fillId="7" borderId="0" xfId="13" applyAlignment="1" applyBorder="1" applyFont="1" applyNumberFormat="1" applyFill="1" applyProtection="1">
      <alignment horizontal="center"/>
    </xf>
    <xf xxid="1054" numFmtId="0" fontId="90" fillId="7" borderId="7" xfId="13" applyAlignment="1" applyBorder="1" applyFont="1" applyNumberFormat="1" applyFill="1" applyProtection="1"/>
    <xf xxid="1055" numFmtId="0" fontId="90" fillId="15" borderId="7" xfId="13" applyAlignment="1" applyBorder="1" applyFont="1" applyNumberFormat="1" applyFill="1" applyProtection="1"/>
    <xf xxid="1056" numFmtId="0" fontId="94" fillId="7" borderId="0" xfId="13" applyAlignment="1" applyBorder="1" applyFont="1" applyNumberFormat="1" applyFill="1" applyProtection="1">
      <alignment wrapText="1"/>
    </xf>
    <xf xxid="1057" numFmtId="0" fontId="94" fillId="0" borderId="0" xfId="13" applyAlignment="1" applyBorder="1" applyFont="1" applyNumberFormat="1" applyFill="1" applyProtection="1"/>
    <xf xxid="1058" numFmtId="0" fontId="92" fillId="0" borderId="0" xfId="13" applyAlignment="1" applyBorder="1" applyFont="1" applyNumberFormat="1" applyFill="1" applyProtection="1">
      <alignment vertical="center"/>
    </xf>
    <xf xxid="1059" numFmtId="0" fontId="92" fillId="0" borderId="13" xfId="13" applyAlignment="1" applyBorder="1" applyFont="1" applyNumberFormat="1" applyFill="1" applyProtection="1">
      <alignment vertical="center" wrapText="1"/>
    </xf>
    <xf xxid="1060" numFmtId="0" fontId="92" fillId="0" borderId="6" xfId="13" applyAlignment="1" applyBorder="1" applyFont="1" applyNumberFormat="1" applyFill="1" applyProtection="1">
      <alignment wrapText="1"/>
    </xf>
    <xf xxid="1061" numFmtId="0" fontId="92" fillId="0" borderId="6" xfId="13" applyAlignment="1" applyBorder="1" applyFont="1" applyNumberFormat="1" applyFill="1" applyProtection="1">
      <alignment vertical="center" wrapText="1"/>
    </xf>
    <xf xxid="1062" numFmtId="0" fontId="98" fillId="0" borderId="2" xfId="13" applyAlignment="1" applyBorder="1" applyFont="1" applyNumberFormat="1" applyFill="1" applyProtection="1"/>
    <xf xxid="1063" numFmtId="0" fontId="99" fillId="0" borderId="0" xfId="13" applyAlignment="1" applyBorder="1" applyFont="1" applyNumberFormat="1" applyFill="1" applyProtection="1">
      <alignment vertical="center" wrapText="1"/>
    </xf>
    <xf xxid="1064" numFmtId="0" fontId="100" fillId="0" borderId="5" xfId="13" applyAlignment="1" applyBorder="1" applyFont="1" applyNumberFormat="1" applyFill="1" applyProtection="1"/>
    <xf xxid="1065" numFmtId="0" fontId="101" fillId="0" borderId="0" xfId="13" applyAlignment="1" applyBorder="1" applyFont="1" applyNumberFormat="1" applyFill="1" applyProtection="1"/>
    <xf xxid="1066" numFmtId="0" fontId="36" fillId="0" borderId="0" xfId="13" applyAlignment="1" applyBorder="1" applyFont="1" applyNumberFormat="1" applyFill="1" applyProtection="1">
      <alignment vertical="center"/>
    </xf>
    <xf xxid="1067" numFmtId="0" fontId="102" fillId="0" borderId="0" xfId="13" applyAlignment="1" applyBorder="1" applyFont="1" applyNumberFormat="1" applyFill="1" applyProtection="1">
      <alignment vertical="center"/>
    </xf>
    <xf xxid="1068" numFmtId="0" fontId="97" fillId="0" borderId="4" xfId="13" applyAlignment="1" applyBorder="1" applyFont="1" applyNumberFormat="1" applyFill="1" applyProtection="1">
      <alignment horizontal="center" vertical="center" wrapText="1"/>
    </xf>
    <xf xxid="1069" numFmtId="0" fontId="97" fillId="0" borderId="0" xfId="13" applyAlignment="1" applyBorder="1" applyFont="1" applyNumberFormat="1" applyFill="1" applyProtection="1">
      <alignment horizontal="center" vertical="center" wrapText="1"/>
    </xf>
    <xf xxid="1070" numFmtId="0" fontId="99" fillId="0" borderId="0" xfId="13" applyAlignment="1" applyBorder="1" applyFont="1" applyNumberFormat="1" applyFill="1" applyProtection="1">
      <alignment horizontal="left" vertical="center" wrapText="1"/>
    </xf>
    <xf xxid="1071" numFmtId="0" fontId="15" fillId="0" borderId="0" xfId="13" applyAlignment="1" applyBorder="1" applyFont="1" applyNumberFormat="1" applyFill="1" applyProtection="1">
      <alignment horizontal="center" wrapText="1"/>
    </xf>
    <xf xxid="1072" numFmtId="0" fontId="92" fillId="0" borderId="0" xfId="13" applyAlignment="1" applyBorder="1" applyFont="1" applyNumberFormat="1" applyFill="1" applyProtection="1">
      <alignment horizontal="center" wrapText="1"/>
    </xf>
    <xf xxid="1073" numFmtId="0" fontId="17" fillId="0" borderId="0" xfId="13" applyAlignment="1" applyBorder="1" applyFont="1" applyNumberFormat="1" applyFill="1" applyProtection="1">
      <alignment horizontal="center" wrapText="1"/>
    </xf>
    <xf xxid="1074" numFmtId="0" fontId="17" fillId="0" borderId="0" xfId="13" applyAlignment="1" applyBorder="1" applyFont="1" applyNumberFormat="1" applyFill="1" applyProtection="1">
      <alignment wrapText="1"/>
    </xf>
    <xf xxid="1075" numFmtId="0" fontId="36" fillId="0" borderId="0" xfId="13" applyAlignment="1" applyBorder="1" applyFont="1" applyNumberFormat="1" applyFill="1" applyProtection="1">
      <alignment wrapText="1"/>
    </xf>
    <xf xxid="1076" numFmtId="0" fontId="92" fillId="0" borderId="0" xfId="13" applyAlignment="1" applyBorder="1" applyFont="1" applyNumberFormat="1" applyFill="1" applyProtection="1">
      <alignment vertical="center" wrapText="1"/>
    </xf>
    <xf xxid="1077" numFmtId="0" fontId="92" fillId="0" borderId="0" xfId="13" applyAlignment="1" applyBorder="1" applyFont="1" applyNumberFormat="1" applyFill="1" applyProtection="1">
      <alignment wrapText="1"/>
    </xf>
    <xf xxid="1078" numFmtId="0" fontId="94" fillId="0" borderId="0" xfId="13" applyAlignment="1" applyBorder="1" applyFont="1" applyNumberFormat="1" applyFill="1" applyProtection="1">
      <alignment horizontal="center" wrapText="1"/>
    </xf>
    <xf xxid="1079" numFmtId="0" fontId="92" fillId="0" borderId="0" xfId="13" applyAlignment="1" applyBorder="1" applyFont="1" applyNumberFormat="1" applyFill="1" applyProtection="1">
      <alignment horizontal="center" vertical="center" wrapText="1"/>
    </xf>
    <xf xxid="1080" numFmtId="0" fontId="94" fillId="0" borderId="0" xfId="13" applyAlignment="1" applyBorder="1" applyFont="1" applyNumberFormat="1" applyFill="1" applyProtection="1">
      <alignment vertical="center" wrapText="1"/>
    </xf>
    <xf xxid="1081" numFmtId="0" fontId="100" fillId="0" borderId="0" xfId="13" applyAlignment="1" applyBorder="1" applyFont="1" applyNumberFormat="1" applyFill="1" applyProtection="1"/>
    <xf xxid="1082" numFmtId="0" fontId="94" fillId="0" borderId="0" xfId="13" applyAlignment="1" applyBorder="1" applyFont="1" applyNumberFormat="1" applyFill="1" applyProtection="1">
      <alignment horizontal="center"/>
    </xf>
    <xf xxid="1083" numFmtId="0" fontId="92" fillId="0" borderId="14" xfId="13" applyAlignment="1" applyBorder="1" applyFont="1" applyNumberFormat="1" applyFill="1" applyProtection="1">
      <alignment vertical="center" wrapText="1"/>
    </xf>
    <xf xxid="1084" numFmtId="0" fontId="92" fillId="0" borderId="1" xfId="13" applyAlignment="1" applyBorder="1" applyFont="1" applyNumberFormat="1" applyFill="1" applyProtection="1">
      <alignment horizontal="center" vertical="center" wrapText="1"/>
    </xf>
    <xf xxid="1085" numFmtId="0" fontId="99" fillId="0" borderId="1" xfId="13" applyAlignment="1" applyBorder="1" applyFont="1" applyNumberFormat="1" applyFill="1" applyProtection="1">
      <alignment vertical="center" wrapText="1"/>
    </xf>
    <xf xxid="1086" numFmtId="0" fontId="92" fillId="0" borderId="1" xfId="13" applyAlignment="1" applyBorder="1" applyFont="1" applyNumberFormat="1" applyFill="1" applyProtection="1">
      <alignment vertical="center" wrapText="1"/>
    </xf>
    <xf xxid="1087" numFmtId="0" fontId="100" fillId="0" borderId="1" xfId="13" applyAlignment="1" applyBorder="1" applyFont="1" applyNumberFormat="1" applyFill="1" applyProtection="1"/>
    <xf xxid="1088" numFmtId="0" fontId="100" fillId="0" borderId="3" xfId="13" applyAlignment="1" applyBorder="1" applyFont="1" applyNumberFormat="1" applyFill="1" applyProtection="1"/>
    <xf xxid="1089" numFmtId="0" fontId="94" fillId="0" borderId="1" xfId="13" applyAlignment="1" applyBorder="1" applyFont="1" applyNumberFormat="1" applyFill="1" applyProtection="1">
      <alignment horizontal="center"/>
    </xf>
    <xf xxid="1090" numFmtId="0" fontId="102" fillId="0" borderId="1" xfId="13" applyAlignment="1" applyBorder="1" applyFont="1" applyNumberFormat="1" applyFill="1" applyProtection="1">
      <alignment horizontal="center" vertical="center"/>
    </xf>
    <xf xxid="1091" numFmtId="0" fontId="103" fillId="7" borderId="13" xfId="13" applyAlignment="1" applyBorder="1" applyFont="1" applyNumberFormat="1" applyFill="1" applyProtection="1">
      <alignment vertical="center" wrapText="1"/>
    </xf>
    <xf xxid="1092" numFmtId="0" fontId="103" fillId="7" borderId="6" xfId="13" applyAlignment="1" applyBorder="1" applyFont="1" applyNumberFormat="1" applyFill="1" applyProtection="1">
      <alignment vertical="center" wrapText="1"/>
    </xf>
    <xf xxid="1093" numFmtId="0" fontId="103" fillId="0" borderId="6" xfId="13" applyAlignment="1" applyBorder="1" applyFont="1" applyNumberFormat="1" applyFill="1" applyProtection="1">
      <alignment horizontal="center" wrapText="1"/>
    </xf>
    <xf xxid="1094" numFmtId="0" fontId="90" fillId="0" borderId="6" xfId="13" applyAlignment="1" applyBorder="1" applyFont="1" applyNumberFormat="1" applyFill="1" applyProtection="1"/>
    <xf xxid="1095" numFmtId="0" fontId="90" fillId="0" borderId="2" xfId="13" applyAlignment="1" applyBorder="1" applyFont="1" applyNumberFormat="1" applyFill="1" applyProtection="1"/>
    <xf xxid="1096" numFmtId="0" fontId="6" fillId="7" borderId="4" xfId="13" applyAlignment="1" applyBorder="1" applyFont="1" applyNumberFormat="1" applyFill="1" applyProtection="1">
      <alignment vertical="top" wrapText="1"/>
    </xf>
    <xf xxid="1097" numFmtId="0" fontId="9" fillId="7" borderId="0" xfId="13" applyAlignment="1" applyBorder="1" applyFont="1" applyNumberFormat="1" applyFill="1" applyProtection="1">
      <alignment wrapText="1"/>
    </xf>
    <xf xxid="1098" numFmtId="0" fontId="95" fillId="7" borderId="0" xfId="13" applyAlignment="1" applyBorder="1" applyFont="1" applyNumberFormat="1" applyFill="1" applyProtection="1">
      <alignment vertical="center" wrapText="1"/>
    </xf>
    <xf xxid="1099" numFmtId="0" fontId="95" fillId="0" borderId="0" xfId="13" applyAlignment="1" applyBorder="1" applyFont="1" applyNumberFormat="1" applyFill="1" applyProtection="1"/>
    <xf xxid="1100" numFmtId="0" fontId="96" fillId="0" borderId="0" xfId="13" applyAlignment="1" applyBorder="1" applyFont="1" applyNumberFormat="1" applyFill="1" applyProtection="1">
      <alignment vertical="center" wrapText="1"/>
    </xf>
    <xf xxid="1101" numFmtId="0" fontId="95" fillId="0" borderId="5" xfId="13" applyAlignment="1" applyBorder="1" applyFont="1" applyNumberFormat="1" applyFill="1" applyProtection="1"/>
    <xf xxid="1102" numFmtId="0" fontId="6" fillId="7" borderId="4" xfId="13" applyAlignment="1" applyBorder="1" applyFont="1" applyNumberFormat="1" applyFill="1" applyProtection="1">
      <alignment vertical="center" wrapText="1"/>
    </xf>
    <xf xxid="1103" numFmtId="0" fontId="6" fillId="7" borderId="0" xfId="13" applyAlignment="1" applyBorder="1" applyFont="1" applyNumberFormat="1" applyFill="1" applyProtection="1">
      <alignment vertical="center" wrapText="1"/>
    </xf>
    <xf xxid="1104" numFmtId="0" fontId="7" fillId="7" borderId="0" xfId="13" applyAlignment="1" applyBorder="1" applyFont="1" applyNumberFormat="1" applyFill="1" applyProtection="1">
      <alignment vertical="center" wrapText="1"/>
    </xf>
    <xf xxid="1105" numFmtId="0" fontId="105" fillId="0" borderId="0" xfId="13" applyAlignment="1" applyBorder="1" applyFont="1" applyNumberFormat="1" applyFill="1" applyProtection="1">
      <alignment horizontal="center" wrapText="1"/>
    </xf>
    <xf xxid="1106" numFmtId="0" fontId="95" fillId="0" borderId="0" xfId="13" applyAlignment="1" applyBorder="1" applyFont="1" applyNumberFormat="1" applyFill="1" applyProtection="1">
      <alignment horizontal="center" wrapText="1"/>
    </xf>
    <xf xxid="1107" numFmtId="0" fontId="106" fillId="7" borderId="0" xfId="13" applyAlignment="1" applyBorder="1" applyFont="1" applyNumberFormat="1" applyFill="1" applyProtection="1">
      <alignment wrapText="1"/>
    </xf>
    <xf xxid="1108" numFmtId="0" fontId="95" fillId="0" borderId="5" xfId="13" applyAlignment="1" applyBorder="1" applyFont="1" applyNumberFormat="1" applyFill="1" applyProtection="1">
      <alignment vertical="center" wrapText="1"/>
    </xf>
    <xf xxid="1109" numFmtId="0" fontId="108" fillId="0" borderId="0" xfId="13" applyAlignment="1" applyBorder="1" applyFont="1" applyNumberFormat="1" applyFill="1" applyProtection="1">
      <alignment vertical="center" wrapText="1"/>
    </xf>
    <xf xxid="1110" numFmtId="0" fontId="6" fillId="7" borderId="14" xfId="13" applyAlignment="1" applyBorder="1" applyFont="1" applyNumberFormat="1" applyFill="1" applyProtection="1">
      <alignment horizontal="center" wrapText="1"/>
    </xf>
    <xf xxid="1111" numFmtId="0" fontId="6" fillId="7" borderId="1" xfId="13" applyAlignment="1" applyBorder="1" applyFont="1" applyNumberFormat="1" applyFill="1" applyProtection="1">
      <alignment horizontal="center" wrapText="1"/>
    </xf>
    <xf xxid="1112" numFmtId="0" fontId="6" fillId="7" borderId="1" xfId="13" applyAlignment="1" applyBorder="1" applyFont="1" applyNumberFormat="1" applyFill="1" applyProtection="1">
      <alignment wrapText="1"/>
    </xf>
    <xf xxid="1113" numFmtId="0" fontId="107" fillId="7" borderId="1" xfId="13" applyAlignment="1" applyBorder="1" applyFont="1" applyNumberFormat="1" applyFill="1" applyProtection="1">
      <alignment wrapText="1"/>
    </xf>
    <xf xxid="1114" numFmtId="0" fontId="105" fillId="0" borderId="1" xfId="13" applyAlignment="1" applyBorder="1" applyFont="1" applyNumberFormat="1" applyFill="1" applyProtection="1"/>
    <xf xxid="1115" numFmtId="0" fontId="95" fillId="0" borderId="1" xfId="13" applyAlignment="1" applyBorder="1" applyFont="1" applyNumberFormat="1" applyFill="1" applyProtection="1">
      <alignment vertical="center"/>
    </xf>
    <xf xxid="1116" numFmtId="0" fontId="95" fillId="0" borderId="3" xfId="13" applyAlignment="1" applyBorder="1" applyFont="1" applyNumberFormat="1" applyFill="1" applyProtection="1">
      <alignment vertical="center" wrapText="1"/>
    </xf>
    <xf xxid="1117" numFmtId="0" fontId="6" fillId="7" borderId="0" xfId="13" applyAlignment="1" applyBorder="1" applyFont="1" applyNumberFormat="1" applyFill="1" applyProtection="1">
      <alignment horizontal="center" wrapText="1"/>
    </xf>
    <xf xxid="1118" numFmtId="0" fontId="6" fillId="7" borderId="0" xfId="13" applyAlignment="1" applyBorder="1" applyFont="1" applyNumberFormat="1" applyFill="1" applyProtection="1">
      <alignment horizontal="left" wrapText="1"/>
    </xf>
    <xf xxid="1119" numFmtId="0" fontId="107" fillId="7" borderId="0" xfId="13" applyAlignment="1" applyBorder="1" applyFont="1" applyNumberFormat="1" applyFill="1" applyProtection="1">
      <alignment horizontal="center" wrapText="1"/>
    </xf>
    <xf xxid="1120" numFmtId="0" fontId="107" fillId="7" borderId="0" xfId="13" applyAlignment="1" applyBorder="1" applyFont="1" applyNumberFormat="1" applyFill="1" applyProtection="1">
      <alignment wrapText="1"/>
    </xf>
    <xf xxid="1121" numFmtId="0" fontId="6" fillId="7" borderId="0" xfId="13" applyAlignment="1" applyBorder="1" applyFont="1" applyNumberFormat="1" applyFill="1" applyProtection="1">
      <alignment wrapText="1"/>
    </xf>
    <xf xxid="1122" numFmtId="0" fontId="105" fillId="0" borderId="0" xfId="13" applyAlignment="1" applyBorder="1" applyFont="1" applyNumberFormat="1" applyFill="1" applyProtection="1"/>
    <xf xxid="1123" numFmtId="0" fontId="95" fillId="0" borderId="0" xfId="13" applyAlignment="1" applyBorder="1" applyFont="1" applyNumberFormat="1" applyFill="1" applyProtection="1">
      <alignment vertical="center"/>
    </xf>
    <xf xxid="1124" numFmtId="0" fontId="95" fillId="0" borderId="0" xfId="13" applyAlignment="1" applyBorder="1" applyFont="1" applyNumberFormat="1" applyFill="1" applyProtection="1">
      <alignment vertical="center" wrapText="1"/>
    </xf>
    <xf xxid="1125" numFmtId="0" fontId="94" fillId="0" borderId="0" xfId="13" applyAlignment="1" applyBorder="1" applyFont="1" applyNumberFormat="1" applyFill="1" applyProtection="1">
      <alignment horizontal="left"/>
    </xf>
    <xf xxid="1126" numFmtId="0" fontId="11" fillId="7" borderId="0" xfId="13" applyAlignment="1" applyBorder="1" applyFont="1" applyNumberFormat="1" applyFill="1" applyProtection="1">
      <alignment vertical="top" wrapText="1"/>
    </xf>
    <xf xxid="1127" numFmtId="0" fontId="96" fillId="7" borderId="0" xfId="13" applyAlignment="1" applyBorder="1" applyFont="1" applyNumberFormat="1" applyFill="1" applyProtection="1">
      <alignment vertical="center" wrapText="1"/>
    </xf>
    <xf xxid="1128" numFmtId="0" fontId="96" fillId="7" borderId="0" xfId="13" applyAlignment="1" applyBorder="1" applyFont="1" applyNumberFormat="1" applyFill="1" applyProtection="1">
      <alignment horizontal="center" vertical="center" wrapText="1"/>
    </xf>
    <xf xxid="1129" numFmtId="0" fontId="11" fillId="7" borderId="4" xfId="13" applyAlignment="1" applyBorder="1" applyFont="1" applyNumberFormat="1" applyFill="1" applyProtection="1">
      <alignment vertical="center" wrapText="1"/>
    </xf>
    <xf xxid="1130" numFmtId="0" fontId="11" fillId="7" borderId="0" xfId="13" applyAlignment="1" applyBorder="1" applyFont="1" applyNumberFormat="1" applyFill="1" applyProtection="1">
      <alignment vertical="center" wrapText="1"/>
    </xf>
    <xf xxid="1131" numFmtId="0" fontId="109" fillId="0" borderId="0" xfId="13" applyAlignment="1" applyBorder="1" applyFont="1" applyNumberFormat="1" applyFill="1" applyProtection="1">
      <alignment horizontal="center" wrapText="1"/>
    </xf>
    <xf xxid="1132" numFmtId="0" fontId="110" fillId="0" borderId="0" xfId="13" applyAlignment="1" applyBorder="1" applyFont="1" applyNumberFormat="1" applyFill="1" applyProtection="1">
      <alignment horizontal="center" wrapText="1"/>
    </xf>
    <xf xxid="1133" numFmtId="0" fontId="110" fillId="0" borderId="0" xfId="13" applyAlignment="1" applyBorder="1" applyFont="1" applyNumberFormat="1" applyFill="1" applyProtection="1"/>
    <xf xxid="1134" numFmtId="0" fontId="110" fillId="0" borderId="5" xfId="13" applyAlignment="1" applyBorder="1" applyFont="1" applyNumberFormat="1" applyFill="1" applyProtection="1"/>
    <xf xxid="1135" numFmtId="0" fontId="110" fillId="0" borderId="0" xfId="13" applyAlignment="1" applyBorder="1" applyFont="1" applyNumberFormat="1" applyFill="1" applyProtection="1">
      <alignment vertical="center"/>
    </xf>
    <xf xxid="1136" numFmtId="0" fontId="110" fillId="0" borderId="5" xfId="13" applyAlignment="1" applyBorder="1" applyFont="1" applyNumberFormat="1" applyFill="1" applyProtection="1">
      <alignment vertical="center" wrapText="1"/>
    </xf>
    <xf xxid="1137" numFmtId="0" fontId="11" fillId="7" borderId="4" xfId="13" applyAlignment="1" applyBorder="1" applyFont="1" applyNumberFormat="1" applyFill="1" applyProtection="1">
      <alignment horizontal="center" wrapText="1"/>
    </xf>
    <xf xxid="1138" numFmtId="0" fontId="11" fillId="7" borderId="0" xfId="13" applyAlignment="1" applyBorder="1" applyFont="1" applyNumberFormat="1" applyFill="1" applyProtection="1">
      <alignment horizontal="center" wrapText="1"/>
    </xf>
    <xf xxid="1139" numFmtId="0" fontId="111" fillId="0" borderId="0" xfId="13" applyAlignment="1" applyBorder="1" applyFont="1" applyNumberFormat="1" applyFill="1" applyProtection="1">
      <alignment vertical="center"/>
    </xf>
    <xf xxid="1140" numFmtId="0" fontId="11" fillId="7" borderId="4" xfId="13" applyAlignment="1" applyBorder="1" applyFont="1" applyNumberFormat="1" applyFill="1" applyProtection="1">
      <alignment horizontal="center" vertical="center" wrapText="1"/>
    </xf>
    <xf xxid="1141" numFmtId="0" fontId="11" fillId="7" borderId="0" xfId="13" applyAlignment="1" applyBorder="1" applyFont="1" applyNumberFormat="1" applyFill="1" applyProtection="1">
      <alignment horizontal="center" vertical="center" wrapText="1"/>
    </xf>
    <xf xxid="1142" numFmtId="0" fontId="11" fillId="7" borderId="0" xfId="13" applyAlignment="1" applyBorder="1" applyFont="1" applyNumberFormat="1" applyFill="1" applyProtection="1">
      <alignment horizontal="left" vertical="center" wrapText="1"/>
    </xf>
    <xf xxid="1143" numFmtId="0" fontId="109" fillId="0" borderId="0" xfId="13" applyAlignment="1" applyBorder="1" applyFont="1" applyNumberFormat="1" applyFill="1" applyProtection="1">
      <alignment vertical="center"/>
    </xf>
    <xf xxid="1144" numFmtId="0" fontId="11" fillId="7" borderId="0" xfId="13" applyAlignment="1" applyBorder="1" applyFont="1" applyNumberFormat="1" applyFill="1" applyProtection="1">
      <alignment wrapText="1"/>
    </xf>
    <xf xxid="1145" numFmtId="0" fontId="11" fillId="7" borderId="0" xfId="13" applyAlignment="1" applyBorder="1" applyFont="1" applyNumberFormat="1" applyFill="1" applyProtection="1">
      <alignment horizontal="left" wrapText="1"/>
    </xf>
    <xf xxid="1146" numFmtId="0" fontId="109" fillId="0" borderId="0" xfId="13" applyAlignment="1" applyBorder="1" applyFont="1" applyNumberFormat="1" applyFill="1" applyProtection="1"/>
    <xf xxid="1147" numFmtId="0" fontId="109" fillId="7" borderId="0" xfId="13" applyAlignment="1" applyBorder="1" applyFont="1" applyNumberFormat="1" applyFill="1" applyProtection="1">
      <alignment wrapText="1"/>
    </xf>
    <xf xxid="1148" numFmtId="0" fontId="110" fillId="0" borderId="12" xfId="13" applyAlignment="1" applyBorder="1" applyFont="1" applyNumberFormat="1" applyFill="1" applyProtection="1">
      <alignment vertical="center"/>
    </xf>
    <xf xxid="1149" numFmtId="0" fontId="6" fillId="7" borderId="1" xfId="13" applyAlignment="1" applyBorder="1" applyFont="1" applyNumberFormat="1" applyFill="1" applyProtection="1">
      <alignment horizontal="left" wrapText="1"/>
    </xf>
    <xf xxid="1150" numFmtId="0" fontId="107" fillId="7" borderId="1" xfId="13" applyAlignment="1" applyBorder="1" applyFont="1" applyNumberFormat="1" applyFill="1" applyProtection="1">
      <alignment horizontal="center" wrapText="1"/>
    </xf>
    <xf xxid="1151" numFmtId="0" fontId="95" fillId="0" borderId="1" xfId="13" applyAlignment="1" applyBorder="1" applyFont="1" applyNumberFormat="1" applyFill="1" applyProtection="1"/>
    <xf xxid="1152" numFmtId="0" fontId="105" fillId="0" borderId="1" xfId="13" applyAlignment="1" applyBorder="1" applyFont="1" applyNumberFormat="1" applyFill="1" applyProtection="1">
      <alignment vertical="center"/>
    </xf>
    <xf xxid="1153" numFmtId="0" fontId="107" fillId="0" borderId="1" xfId="13" applyAlignment="1" applyBorder="1" applyFont="1" applyNumberFormat="1" applyFill="1" applyProtection="1">
      <alignment vertical="center"/>
    </xf>
    <xf xxid="1154" numFmtId="0" fontId="112" fillId="0" borderId="0" xfId="13" applyAlignment="1" applyBorder="1" applyFont="1" applyNumberFormat="1" applyFill="1" applyProtection="1">
      <alignment vertical="center" wrapText="1"/>
    </xf>
    <xf xxid="1155" numFmtId="0" fontId="90" fillId="0" borderId="0" xfId="13" applyAlignment="1" applyBorder="1" applyFont="1" applyNumberFormat="1" applyFill="1" applyProtection="1">
      <alignment vertical="center"/>
    </xf>
    <xf xxid="1156" numFmtId="0" fontId="90" fillId="0" borderId="0" xfId="13" applyAlignment="1" applyBorder="1" applyFont="1" applyNumberFormat="1" applyFill="1" applyProtection="1">
      <alignment horizontal="center" vertical="center"/>
    </xf>
    <xf xxid="1157" numFmtId="188" fontId="110" fillId="0" borderId="0" xfId="13" applyAlignment="1" applyBorder="1" applyFont="1" applyNumberFormat="1" applyFill="1" applyProtection="1">
      <alignment vertical="center" wrapText="1"/>
    </xf>
    <xf xxid="1158" numFmtId="188" fontId="95" fillId="7" borderId="19" xfId="13" applyAlignment="1" applyBorder="1" applyFont="1" applyNumberFormat="1" applyFill="1" applyProtection="1">
      <alignment vertical="center" wrapText="1"/>
    </xf>
    <xf xxid="1159" numFmtId="188" fontId="95" fillId="7" borderId="8" xfId="13" applyAlignment="1" applyBorder="1" applyFont="1" applyNumberFormat="1" applyFill="1" applyProtection="1">
      <alignment vertical="center" wrapText="1"/>
    </xf>
    <xf xxid="1160" numFmtId="0" fontId="113" fillId="7" borderId="8" xfId="13" applyAlignment="1" applyBorder="1" applyFont="1" applyNumberFormat="1" applyFill="1" applyProtection="1">
      <alignment vertical="center"/>
    </xf>
    <xf xxid="1161" numFmtId="0" fontId="113" fillId="23" borderId="19" xfId="13" applyAlignment="1" applyBorder="1" applyFont="1" applyNumberFormat="1" applyFill="1" applyProtection="1">
      <alignment vertical="center"/>
    </xf>
    <xf xxid="1162" numFmtId="0" fontId="113" fillId="23" borderId="8" xfId="13" applyAlignment="1" applyBorder="1" applyFont="1" applyNumberFormat="1" applyFill="1" applyProtection="1">
      <alignment vertical="center"/>
    </xf>
    <xf xxid="1163" numFmtId="0" fontId="113" fillId="23" borderId="20" xfId="13" applyAlignment="1" applyBorder="1" applyFont="1" applyNumberFormat="1" applyFill="1" applyProtection="1">
      <alignment vertical="center"/>
    </xf>
    <xf xxid="1164" numFmtId="188" fontId="95" fillId="7" borderId="21" xfId="13" applyAlignment="1" applyBorder="1" applyFont="1" applyNumberFormat="1" applyFill="1" applyProtection="1">
      <alignment vertical="center" wrapText="1"/>
    </xf>
    <xf xxid="1165" numFmtId="0" fontId="113" fillId="7" borderId="21" xfId="13" applyAlignment="1" applyBorder="1" applyFont="1" applyNumberFormat="1" applyFill="1" applyProtection="1">
      <alignment vertical="center"/>
    </xf>
    <xf xxid="1166" numFmtId="169" fontId="15" fillId="7" borderId="30" xfId="1" applyAlignment="1" applyBorder="1" applyFont="1" applyNumberFormat="1" applyFill="1" applyProtection="1">
      <alignment vertical="center"/>
    </xf>
    <xf xxid="1167" numFmtId="166" fontId="114" fillId="0" borderId="0" xfId="20" applyAlignment="1" applyBorder="1" applyFont="1" applyNumberFormat="1" applyFill="1" applyProtection="1">
      <alignment vertical="center" wrapText="1"/>
    </xf>
    <xf xxid="1168" numFmtId="169" fontId="97" fillId="7" borderId="30" xfId="1" applyAlignment="1" applyBorder="1" applyFont="1" applyNumberFormat="1" applyFill="1" applyProtection="1">
      <alignment vertical="center" wrapText="1"/>
    </xf>
    <xf xxid="1169" numFmtId="169" fontId="15" fillId="7" borderId="30" xfId="1" applyAlignment="1" applyBorder="1" applyFont="1" applyNumberFormat="1" applyFill="1" applyProtection="1">
      <alignment horizontal="center" vertical="center"/>
    </xf>
    <xf xxid="1170" numFmtId="169" fontId="97" fillId="7" borderId="30" xfId="1" applyAlignment="1" applyBorder="1" applyFont="1" applyNumberFormat="1" applyFill="1" applyProtection="1">
      <alignment vertical="top" wrapText="1"/>
    </xf>
    <xf xxid="1171" numFmtId="0" fontId="115" fillId="7" borderId="9" xfId="13" applyAlignment="1" applyBorder="1" applyFont="1" applyNumberFormat="1" applyFill="1" applyProtection="1">
      <alignment horizontal="left" vertical="top" wrapText="1"/>
    </xf>
    <xf xxid="1172" numFmtId="0" fontId="115" fillId="7" borderId="0" xfId="13" applyAlignment="1" applyBorder="1" applyFont="1" applyNumberFormat="1" applyFill="1" applyProtection="1">
      <alignment horizontal="center" vertical="center" wrapText="1"/>
    </xf>
    <xf xxid="1173" numFmtId="0" fontId="115" fillId="7" borderId="0" xfId="13" applyAlignment="1" applyBorder="1" applyFont="1" applyNumberFormat="1" applyFill="1" applyProtection="1">
      <alignment vertical="center"/>
    </xf>
    <xf xxid="1174" numFmtId="0" fontId="95" fillId="7" borderId="0" xfId="13" applyAlignment="1" applyBorder="1" applyFont="1" applyNumberFormat="1" applyFill="1" applyProtection="1">
      <alignment vertical="center"/>
    </xf>
    <xf xxid="1175" numFmtId="0" fontId="115" fillId="7" borderId="0" xfId="13" applyAlignment="1" applyBorder="1" applyFont="1" applyNumberFormat="1" applyFill="1" applyProtection="1">
      <alignment horizontal="left" vertical="top" wrapText="1"/>
    </xf>
    <xf xxid="1176" numFmtId="0" fontId="116" fillId="0" borderId="0" xfId="13" applyAlignment="1" applyBorder="1" applyFont="1" applyNumberFormat="1" applyFill="1" applyProtection="1">
      <alignment vertical="center"/>
    </xf>
    <xf xxid="1177" numFmtId="0" fontId="97" fillId="15" borderId="0" xfId="13" applyAlignment="1" applyBorder="1" applyFont="1" applyNumberFormat="1" applyFill="1" applyProtection="1"/>
    <xf xxid="1178" numFmtId="0" fontId="90" fillId="2" borderId="0" xfId="13" applyAlignment="1" applyBorder="1" applyFont="1" applyNumberFormat="1" applyFill="1" applyProtection="1"/>
    <xf xxid="1179" numFmtId="0" fontId="5" fillId="14" borderId="41" xfId="3" applyAlignment="1" applyBorder="1" applyFont="1" applyNumberFormat="1" applyFill="1" applyProtection="1">
      <alignment horizontal="center" vertical="center" wrapText="1"/>
      <protection locked="0"/>
    </xf>
    <xf xxid="1180" numFmtId="0" fontId="11" fillId="0" borderId="0" xfId="13" applyAlignment="1" applyBorder="1" applyFont="1" applyNumberFormat="1" applyFill="1" applyProtection="1">
      <alignment vertical="center"/>
    </xf>
    <xf xxid="1181" numFmtId="0" fontId="11" fillId="0" borderId="0" xfId="13" applyAlignment="1" applyBorder="1" applyFont="1" applyNumberFormat="1" applyFill="1" applyProtection="1"/>
    <xf xxid="1182" numFmtId="0" fontId="11" fillId="0" borderId="5" xfId="13" applyAlignment="1" applyBorder="1" applyFont="1" applyNumberFormat="1" applyFill="1" applyProtection="1"/>
    <xf xxid="1183" numFmtId="0" fontId="11" fillId="0" borderId="5" xfId="13" applyAlignment="1" applyBorder="1" applyFont="1" applyNumberFormat="1" applyFill="1" applyProtection="1">
      <alignment vertical="center" wrapText="1"/>
    </xf>
    <xf xxid="1184" numFmtId="0" fontId="23" fillId="0" borderId="0" xfId="13" applyAlignment="1" applyBorder="1" applyFont="1" applyNumberFormat="1" applyFill="1" applyProtection="1">
      <alignment vertical="center" wrapText="1"/>
    </xf>
    <xf xxid="1185" numFmtId="0" fontId="2" fillId="0" borderId="6" xfId="13" applyAlignment="1" applyBorder="1" applyFont="1" applyNumberFormat="1" applyFill="1" applyProtection="1">
      <alignment vertical="center"/>
    </xf>
    <xf xxid="1186" numFmtId="0" fontId="118" fillId="0" borderId="0" xfId="13" applyAlignment="1" applyBorder="1" applyFont="1" applyNumberFormat="1" applyFill="1" applyProtection="1">
      <alignment vertical="center" wrapText="1"/>
    </xf>
    <xf xxid="1187" numFmtId="0" fontId="7" fillId="0" borderId="0" xfId="13" applyAlignment="1" applyBorder="1" applyFont="1" applyNumberFormat="1" applyFill="1" applyProtection="1">
      <alignment horizontal="left"/>
    </xf>
    <xf xxid="1188" numFmtId="0" fontId="20" fillId="0" borderId="0" xfId="13" applyAlignment="1" applyBorder="1" applyFont="1" applyNumberFormat="1" applyFill="1" applyProtection="1"/>
    <xf xxid="1189" numFmtId="0" fontId="7" fillId="0" borderId="0" xfId="13" applyAlignment="1" applyBorder="1" applyFont="1" applyNumberFormat="1" applyFill="1" applyProtection="1">
      <alignment vertical="center"/>
    </xf>
    <xf xxid="1190" numFmtId="0" fontId="2" fillId="0" borderId="0" xfId="13" applyAlignment="1" applyBorder="1" applyFont="1" applyNumberFormat="1" applyFill="1" applyProtection="1">
      <alignment vertical="center"/>
    </xf>
    <xf xxid="1191" numFmtId="0" fontId="20" fillId="0" borderId="0" xfId="13" applyAlignment="1" applyBorder="1" applyFont="1" applyNumberFormat="1" applyFill="1" applyProtection="1">
      <alignment horizontal="center" vertical="center"/>
    </xf>
    <xf xxid="1192" numFmtId="0" fontId="9" fillId="0" borderId="0" xfId="13" applyAlignment="1" applyBorder="1" applyFont="1" applyNumberFormat="1" applyFill="1" applyProtection="1">
      <alignment horizontal="center" wrapText="1"/>
    </xf>
    <xf xxid="1193" numFmtId="0" fontId="9" fillId="0" borderId="0" xfId="13" applyAlignment="1" applyBorder="1" applyFont="1" applyNumberFormat="1" applyFill="1" applyProtection="1">
      <alignment horizontal="left" wrapText="1"/>
    </xf>
    <xf xxid="1194" numFmtId="0" fontId="2" fillId="0" borderId="0" xfId="13" applyAlignment="1" applyBorder="1" applyFont="1" applyNumberFormat="1" applyFill="1" applyProtection="1">
      <alignment wrapText="1"/>
    </xf>
    <xf xxid="1195" numFmtId="0" fontId="15" fillId="0" borderId="23" xfId="13" applyAlignment="1" applyBorder="1" applyFont="1" applyNumberFormat="1" applyFill="1" applyProtection="1">
      <alignment horizontal="center" vertical="center" wrapText="1"/>
    </xf>
    <xf xxid="1196" numFmtId="0" fontId="15" fillId="0" borderId="9" xfId="13" applyAlignment="1" applyBorder="1" applyFont="1" applyNumberFormat="1" applyFill="1" applyProtection="1">
      <alignment horizontal="center" vertical="center" wrapText="1"/>
    </xf>
    <xf xxid="1197" numFmtId="0" fontId="15" fillId="0" borderId="0" xfId="13" applyAlignment="1" applyBorder="1" applyFont="1" applyNumberFormat="1" applyFill="1" applyProtection="1">
      <alignment horizontal="center" vertical="center" wrapText="1"/>
    </xf>
    <xf xxid="1198" numFmtId="188" fontId="10" fillId="0" borderId="23" xfId="13" applyAlignment="1" applyBorder="1" applyFont="1" applyNumberFormat="1" applyFill="1" applyProtection="1">
      <alignment horizontal="center" vertical="center" wrapText="1"/>
    </xf>
    <xf xxid="1199" numFmtId="188" fontId="10" fillId="0" borderId="9" xfId="13" applyAlignment="1" applyBorder="1" applyFont="1" applyNumberFormat="1" applyFill="1" applyProtection="1">
      <alignment horizontal="center" vertical="center" wrapText="1"/>
    </xf>
    <xf xxid="1200" numFmtId="188" fontId="10" fillId="0" borderId="22" xfId="13" applyAlignment="1" applyBorder="1" applyFont="1" applyNumberFormat="1" applyFill="1" applyProtection="1">
      <alignment horizontal="center" vertical="center" wrapText="1"/>
    </xf>
    <xf xxid="1201" numFmtId="188" fontId="10" fillId="0" borderId="0" xfId="13" applyAlignment="1" applyBorder="1" applyFont="1" applyNumberFormat="1" applyFill="1" applyProtection="1">
      <alignment vertical="center" wrapText="1"/>
    </xf>
    <xf xxid="1202" numFmtId="0" fontId="6" fillId="7" borderId="21" xfId="13" applyAlignment="1" applyBorder="1" applyFont="1" applyNumberFormat="1" applyFill="1" applyProtection="1">
      <alignment vertical="center" wrapText="1"/>
    </xf>
    <xf xxid="1203" numFmtId="3" fontId="6" fillId="7" borderId="21" xfId="20" applyAlignment="1" applyBorder="1" applyFont="1" applyNumberFormat="1" applyFill="1" applyProtection="1">
      <alignment vertical="center" wrapText="1"/>
    </xf>
    <xf xxid="1204" numFmtId="3" fontId="113" fillId="7" borderId="21" xfId="13" applyAlignment="1" applyBorder="1" applyFont="1" applyNumberFormat="1" applyFill="1" applyProtection="1">
      <alignment vertical="center"/>
    </xf>
    <xf xxid="1205" numFmtId="3" fontId="17" fillId="7" borderId="21" xfId="20" applyAlignment="1" applyBorder="1" applyFont="1" applyNumberFormat="1" applyFill="1" applyProtection="1">
      <alignment vertical="center" wrapText="1"/>
    </xf>
    <xf xxid="1206" numFmtId="0" fontId="9" fillId="7" borderId="21" xfId="13" applyAlignment="1" applyBorder="1" applyFont="1" applyNumberFormat="1" applyFill="1" applyProtection="1">
      <alignment vertical="center" wrapText="1"/>
    </xf>
    <xf xxid="1207" numFmtId="3" fontId="12" fillId="7" borderId="21" xfId="20" applyAlignment="1" applyBorder="1" applyFont="1" applyNumberFormat="1" applyFill="1" applyProtection="1">
      <alignment vertical="center" wrapText="1"/>
    </xf>
    <xf xxid="1208" numFmtId="0" fontId="122" fillId="7" borderId="21" xfId="13" applyAlignment="1" applyBorder="1" applyFont="1" applyNumberFormat="1" applyFill="1" applyProtection="1">
      <alignment vertical="center" wrapText="1"/>
    </xf>
    <xf xxid="1209" numFmtId="0" fontId="15" fillId="7" borderId="21" xfId="13" applyAlignment="1" applyBorder="1" applyFont="1" applyNumberFormat="1" applyFill="1" applyProtection="1">
      <alignment vertical="center" wrapText="1"/>
    </xf>
    <xf xxid="1210" numFmtId="0" fontId="9" fillId="7" borderId="21" xfId="13" applyAlignment="1" applyBorder="1" applyFont="1" applyNumberFormat="1" applyFill="1" applyProtection="1">
      <alignment wrapText="1"/>
    </xf>
    <xf xxid="1211" numFmtId="0" fontId="6" fillId="7" borderId="21" xfId="13" applyAlignment="1" applyBorder="1" applyFont="1" applyNumberFormat="1" applyFill="1" applyProtection="1">
      <alignment horizontal="left" vertical="center" wrapText="1"/>
    </xf>
    <xf xxid="1212" numFmtId="0" fontId="6" fillId="7" borderId="21" xfId="13" applyAlignment="1" applyBorder="1" applyFont="1" applyNumberFormat="1" applyFill="1" applyProtection="1">
      <alignment horizontal="left" vertical="top" wrapText="1"/>
    </xf>
    <xf xxid="1213" numFmtId="0" fontId="6" fillId="7" borderId="30" xfId="13" applyAlignment="1" applyBorder="1" applyFont="1" applyNumberFormat="1" applyFill="1" applyProtection="1">
      <alignment horizontal="left" vertical="top" wrapText="1"/>
    </xf>
    <xf xxid="1214" numFmtId="0" fontId="115" fillId="0" borderId="9" xfId="13" applyAlignment="1" applyBorder="1" applyFont="1" applyNumberFormat="1" applyFill="1" applyProtection="1">
      <alignment horizontal="left" vertical="top" wrapText="1"/>
    </xf>
    <xf xxid="1215" numFmtId="0" fontId="115" fillId="0" borderId="0" xfId="13" applyAlignment="1" applyBorder="1" applyFont="1" applyNumberFormat="1" applyFill="1" applyProtection="1">
      <alignment horizontal="center" vertical="center" wrapText="1"/>
    </xf>
    <xf xxid="1216" numFmtId="0" fontId="115" fillId="0" borderId="0" xfId="13" applyAlignment="1" applyBorder="1" applyFont="1" applyNumberFormat="1" applyFill="1" applyProtection="1">
      <alignment vertical="center"/>
    </xf>
    <xf xxid="1217" numFmtId="0" fontId="115" fillId="0" borderId="0" xfId="13" applyAlignment="1" applyBorder="1" applyFont="1" applyNumberFormat="1" applyFill="1" applyProtection="1">
      <alignment horizontal="left" vertical="top" wrapText="1"/>
    </xf>
    <xf xxid="1218" numFmtId="0" fontId="103" fillId="0" borderId="13" xfId="13" applyAlignment="1" applyBorder="1" applyFont="1" applyNumberFormat="1" applyFill="1" applyProtection="1">
      <alignment vertical="center" wrapText="1"/>
    </xf>
    <xf xxid="1219" numFmtId="0" fontId="103" fillId="0" borderId="6" xfId="13" applyAlignment="1" applyBorder="1" applyFont="1" applyNumberFormat="1" applyFill="1" applyProtection="1">
      <alignment vertical="center" wrapText="1"/>
    </xf>
    <xf xxid="1220" numFmtId="0" fontId="6" fillId="0" borderId="0" xfId="13" applyAlignment="1" applyBorder="1" applyFont="1" applyNumberFormat="1" applyFill="1" applyProtection="1">
      <alignment vertical="top" wrapText="1"/>
    </xf>
    <xf xxid="1221" numFmtId="0" fontId="96" fillId="0" borderId="0" xfId="13" applyAlignment="1" applyBorder="1" applyFont="1" applyNumberFormat="1" applyFill="1" applyProtection="1">
      <alignment vertical="top" wrapText="1"/>
    </xf>
    <xf xxid="1222" numFmtId="0" fontId="6" fillId="0" borderId="4" xfId="13" applyAlignment="1" applyBorder="1" applyFont="1" applyNumberFormat="1" applyFill="1" applyProtection="1">
      <alignment vertical="center" wrapText="1"/>
    </xf>
    <xf xxid="1223" numFmtId="0" fontId="6" fillId="0" borderId="0" xfId="13" applyAlignment="1" applyBorder="1" applyFont="1" applyNumberFormat="1" applyFill="1" applyProtection="1">
      <alignment vertical="center" wrapText="1"/>
    </xf>
    <xf xxid="1224" numFmtId="0" fontId="7" fillId="0" borderId="0" xfId="13" applyAlignment="1" applyBorder="1" applyFont="1" applyNumberFormat="1" applyFill="1" applyProtection="1">
      <alignment vertical="center" wrapText="1"/>
    </xf>
    <xf xxid="1225" numFmtId="0" fontId="10" fillId="0" borderId="4" xfId="13" applyAlignment="1" applyBorder="1" applyFont="1" applyNumberFormat="1" applyFill="1" applyProtection="1">
      <alignment horizontal="center" vertical="top" wrapText="1"/>
    </xf>
    <xf xxid="1226" numFmtId="0" fontId="10" fillId="0" borderId="0" xfId="13" applyAlignment="1" applyBorder="1" applyFont="1" applyNumberFormat="1" applyFill="1" applyProtection="1">
      <alignment horizontal="center" vertical="top" wrapText="1"/>
    </xf>
    <xf xxid="1227" numFmtId="0" fontId="10" fillId="0" borderId="0" xfId="13" applyAlignment="1" applyBorder="1" applyFont="1" applyNumberFormat="1" applyFill="1" applyProtection="1">
      <alignment horizontal="left" vertical="center" wrapText="1"/>
    </xf>
    <xf xxid="1228" numFmtId="0" fontId="107" fillId="0" borderId="0" xfId="13" applyAlignment="1" applyBorder="1" applyFont="1" applyNumberFormat="1" applyFill="1" applyProtection="1">
      <alignment horizontal="left" wrapText="1"/>
    </xf>
    <xf xxid="1229" numFmtId="0" fontId="5" fillId="0" borderId="0" xfId="13" applyAlignment="1" applyBorder="1" applyFont="1" applyNumberFormat="1" applyFill="1" applyProtection="1">
      <alignment horizontal="left" vertical="center"/>
    </xf>
    <xf xxid="1230" numFmtId="0" fontId="6" fillId="0" borderId="4" xfId="13" applyAlignment="1" applyBorder="1" applyFont="1" applyNumberFormat="1" applyFill="1" applyProtection="1">
      <alignment horizontal="left" vertical="center"/>
    </xf>
    <xf xxid="1231" numFmtId="0" fontId="6" fillId="0" borderId="0" xfId="13" applyAlignment="1" applyBorder="1" applyFont="1" applyNumberFormat="1" applyFill="1" applyProtection="1">
      <alignment horizontal="left" vertical="center"/>
    </xf>
    <xf xxid="1232" numFmtId="0" fontId="19" fillId="0" borderId="4" xfId="13" applyAlignment="1" applyBorder="1" applyFont="1" applyNumberFormat="1" applyFill="1" applyProtection="1">
      <alignment vertical="top" wrapText="1"/>
    </xf>
    <xf xxid="1233" numFmtId="0" fontId="19" fillId="0" borderId="0" xfId="13" applyAlignment="1" applyBorder="1" applyFont="1" applyNumberFormat="1" applyFill="1" applyProtection="1">
      <alignment horizontal="center" vertical="center" wrapText="1"/>
    </xf>
    <xf xxid="1234" numFmtId="0" fontId="17" fillId="0" borderId="0" xfId="13" applyAlignment="1" applyBorder="1" applyFont="1" applyNumberFormat="1" applyFill="1" applyProtection="1"/>
    <xf xxid="1235" numFmtId="0" fontId="13" fillId="0" borderId="0" xfId="13" applyAlignment="1" applyBorder="1" applyFont="1" applyNumberFormat="1" applyFill="1" applyProtection="1"/>
    <xf xxid="1236" numFmtId="0" fontId="19" fillId="0" borderId="0" xfId="13" applyAlignment="1" applyBorder="1" applyFont="1" applyNumberFormat="1" applyFill="1" applyProtection="1">
      <alignment vertical="center" wrapText="1"/>
    </xf>
    <xf xxid="1237" numFmtId="0" fontId="20" fillId="7" borderId="0" xfId="13" applyAlignment="1" applyBorder="1" applyFont="1" applyNumberFormat="1" applyFill="1" applyProtection="1"/>
    <xf xxid="1238" numFmtId="0" fontId="20" fillId="7" borderId="0" xfId="13" applyAlignment="1" applyBorder="1" applyFont="1" applyNumberFormat="1" applyFill="1" applyProtection="1">
      <alignment horizontal="center"/>
    </xf>
    <xf xxid="1239" numFmtId="0" fontId="20" fillId="7" borderId="7" xfId="13" applyAlignment="1" applyBorder="1" applyFont="1" applyNumberFormat="1" applyFill="1" applyProtection="1"/>
    <xf xxid="1240" numFmtId="0" fontId="20" fillId="15" borderId="7" xfId="13" applyAlignment="1" applyBorder="1" applyFont="1" applyNumberFormat="1" applyFill="1" applyProtection="1"/>
    <xf xxid="1241" numFmtId="0" fontId="5" fillId="0" borderId="0" xfId="13" applyAlignment="1" applyBorder="1" applyFont="1" applyNumberFormat="1" applyFill="1" applyProtection="1">
      <alignment vertical="center"/>
    </xf>
    <xf xxid="1242" numFmtId="0" fontId="5" fillId="0" borderId="13" xfId="13" applyAlignment="1" applyBorder="1" applyFont="1" applyNumberFormat="1" applyFill="1" applyProtection="1">
      <alignment vertical="center" wrapText="1"/>
    </xf>
    <xf xxid="1243" numFmtId="0" fontId="5" fillId="0" borderId="6" xfId="13" applyAlignment="1" applyBorder="1" applyFont="1" applyNumberFormat="1" applyFill="1" applyProtection="1">
      <alignment wrapText="1"/>
    </xf>
    <xf xxid="1244" numFmtId="0" fontId="5" fillId="0" borderId="6" xfId="13" applyAlignment="1" applyBorder="1" applyFont="1" applyNumberFormat="1" applyFill="1" applyProtection="1">
      <alignment vertical="center" wrapText="1"/>
    </xf>
    <xf xxid="1245" numFmtId="0" fontId="20" fillId="0" borderId="2" xfId="13" applyAlignment="1" applyBorder="1" applyFont="1" applyNumberFormat="1" applyFill="1" applyProtection="1"/>
    <xf xxid="1246" numFmtId="0" fontId="12" fillId="0" borderId="0" xfId="13" applyAlignment="1" applyBorder="1" applyFont="1" applyNumberFormat="1" applyFill="1" applyProtection="1">
      <alignment vertical="center" wrapText="1"/>
    </xf>
    <xf xxid="1247" numFmtId="0" fontId="41" fillId="0" borderId="5" xfId="13" applyAlignment="1" applyBorder="1" applyFont="1" applyNumberFormat="1" applyFill="1" applyProtection="1"/>
    <xf xxid="1248" numFmtId="0" fontId="12" fillId="0" borderId="0" xfId="13" applyAlignment="1" applyBorder="1" applyFont="1" applyNumberFormat="1" applyFill="1" applyProtection="1"/>
    <xf xxid="1249" numFmtId="0" fontId="17" fillId="0" borderId="0" xfId="13" applyAlignment="1" applyBorder="1" applyFont="1" applyNumberFormat="1" applyFill="1" applyProtection="1">
      <alignment vertical="center"/>
    </xf>
    <xf xxid="1250" numFmtId="0" fontId="8" fillId="0" borderId="0" xfId="13" applyAlignment="1" applyBorder="1" applyFont="1" applyNumberFormat="1" applyFill="1" applyProtection="1">
      <alignment vertical="center"/>
    </xf>
    <xf xxid="1251" numFmtId="0" fontId="2" fillId="14" borderId="96" xfId="3" applyAlignment="1" applyBorder="1" applyFont="1" applyNumberFormat="1" applyFill="1" applyProtection="1">
      <alignment horizontal="center"/>
      <protection locked="0"/>
    </xf>
    <xf xxid="1252" numFmtId="0" fontId="5" fillId="14" borderId="54" xfId="3" applyAlignment="1" applyBorder="1" applyFont="1" applyNumberFormat="1" applyFill="1" applyProtection="1">
      <alignment horizontal="center"/>
      <protection locked="0"/>
    </xf>
    <xf xxid="1253" numFmtId="0" fontId="2" fillId="5" borderId="39" xfId="4" applyAlignment="1" applyBorder="1" applyFont="1" applyNumberFormat="1" applyFill="1" applyProtection="1">
      <alignment horizontal="center" vertical="top" wrapText="1"/>
      <protection locked="0"/>
    </xf>
    <xf xxid="1254" numFmtId="0" fontId="2" fillId="5" borderId="43" xfId="4" applyAlignment="1" applyBorder="1" applyFont="1" applyNumberFormat="1" applyFill="1" applyProtection="1">
      <alignment horizontal="center" vertical="top" wrapText="1"/>
      <protection locked="0"/>
    </xf>
    <xf xxid="1255" numFmtId="169" fontId="3" fillId="0" borderId="0" xfId="16" applyAlignment="1" applyBorder="1" applyFont="1" applyNumberFormat="1" applyFill="1" applyProtection="1">
      <alignment horizontal="left" vertical="center"/>
    </xf>
    <xf xxid="1256" numFmtId="169" fontId="3" fillId="0" borderId="12" xfId="16" applyAlignment="1" applyBorder="1" applyFont="1" applyNumberFormat="1" applyFill="1" applyProtection="1">
      <alignment horizontal="left" vertical="center"/>
    </xf>
    <xf xxid="1257" numFmtId="0" fontId="2" fillId="6" borderId="0" xfId="16" applyAlignment="1" applyBorder="1" applyFont="1" applyNumberFormat="1" applyFill="1" applyProtection="1"/>
    <xf xxid="1258" numFmtId="0" fontId="47" fillId="6" borderId="0" xfId="16" applyAlignment="1" applyBorder="1" applyFont="1" applyNumberFormat="1" applyFill="1" applyProtection="1"/>
    <xf xxid="1259" numFmtId="164" fontId="2" fillId="6" borderId="0" xfId="28" applyAlignment="1" applyBorder="1" applyFont="1" applyNumberFormat="1" applyFill="1" applyProtection="1"/>
    <xf xxid="1260" numFmtId="0" fontId="123" fillId="6" borderId="0" xfId="16" applyAlignment="1" applyBorder="1" applyFont="1" applyNumberFormat="1" applyFill="1" applyProtection="1"/>
    <xf xxid="1261" numFmtId="0" fontId="2" fillId="6" borderId="0" xfId="16" applyAlignment="1" applyBorder="1" applyFont="1" applyNumberFormat="1" applyFill="1" applyProtection="1">
      <alignment horizontal="center"/>
    </xf>
    <xf xxid="1262" numFmtId="0" fontId="2" fillId="6" borderId="0" xfId="16" applyAlignment="1" applyBorder="1" applyFont="1" applyNumberFormat="1" applyFill="1" applyProtection="1">
      <alignment vertical="top"/>
    </xf>
    <xf xxid="1263" numFmtId="0" fontId="123" fillId="6" borderId="0" xfId="16" applyAlignment="1" applyBorder="1" applyFont="1" applyNumberFormat="1" applyFill="1" applyProtection="1">
      <alignment horizontal="center"/>
    </xf>
    <xf xxid="1264" numFmtId="0" fontId="47" fillId="6" borderId="0" xfId="16" applyAlignment="1" applyBorder="1" applyFont="1" applyNumberFormat="1" applyFill="1" applyProtection="1">
      <alignment horizontal="center"/>
    </xf>
    <xf xxid="1265" numFmtId="0" fontId="5" fillId="6" borderId="0" xfId="16" applyAlignment="1" applyBorder="1" applyFont="1" applyNumberFormat="1" applyFill="1" applyProtection="1"/>
    <xf xxid="1266" numFmtId="0" fontId="2" fillId="6" borderId="0" xfId="16" applyAlignment="1" applyBorder="1" applyFont="1" applyNumberFormat="1" applyFill="1" applyProtection="1">
      <alignment horizontal="center" vertical="center"/>
    </xf>
    <xf xxid="1267" numFmtId="0" fontId="2" fillId="6" borderId="8" xfId="16" applyAlignment="1" applyBorder="1" applyFont="1" applyNumberFormat="1" applyFill="1" applyProtection="1"/>
    <xf xxid="1268" numFmtId="0" fontId="123" fillId="6" borderId="8" xfId="16" applyAlignment="1" applyBorder="1" applyFont="1" applyNumberFormat="1" applyFill="1" applyProtection="1"/>
    <xf xxid="1269" numFmtId="0" fontId="47" fillId="6" borderId="0" xfId="16" applyAlignment="1" applyBorder="1" applyFont="1" applyNumberFormat="1" applyFill="1" applyProtection="1">
      <protection locked="0"/>
    </xf>
    <xf xxid="1270" numFmtId="0" fontId="2" fillId="6" borderId="0" xfId="16" applyAlignment="1" applyBorder="1" applyFont="1" applyNumberFormat="1" applyFill="1" applyProtection="1">
      <protection locked="0"/>
    </xf>
    <xf xxid="1271" numFmtId="0" fontId="2" fillId="6" borderId="0" xfId="16" applyAlignment="1" applyBorder="1" applyFont="1" applyNumberFormat="1" applyFill="1" applyProtection="1">
      <alignment horizontal="center"/>
      <protection locked="0"/>
    </xf>
    <xf xxid="1272" numFmtId="0" fontId="124" fillId="6" borderId="0" xfId="16" applyAlignment="1" applyBorder="1" applyFont="1" applyNumberFormat="1" applyFill="1" applyProtection="1">
      <alignment horizontal="center"/>
    </xf>
    <xf xxid="1273" numFmtId="0" fontId="47" fillId="6" borderId="0" xfId="16" applyAlignment="1" applyBorder="1" applyFont="1" applyNumberFormat="1" applyFill="1" applyProtection="1">
      <alignment horizontal="left"/>
    </xf>
    <xf xxid="1274" numFmtId="0" fontId="2" fillId="6" borderId="0" xfId="16" applyAlignment="1" applyBorder="1" applyFont="1" applyNumberFormat="1" applyFill="1" applyProtection="1">
      <alignment horizontal="justify" vertical="top" wrapText="1"/>
    </xf>
    <xf xxid="1275" numFmtId="0" fontId="2" fillId="6" borderId="8" xfId="16" applyAlignment="1" applyBorder="1" applyFont="1" applyNumberFormat="1" applyFill="1" applyProtection="1">
      <alignment horizontal="left"/>
    </xf>
    <xf xxid="1276" numFmtId="0" fontId="13" fillId="0" borderId="0" xfId="25" applyAlignment="1" applyBorder="1" applyFont="1" applyNumberFormat="1" applyFill="1" applyProtection="1"/>
    <xf xxid="1277" numFmtId="0" fontId="20" fillId="0" borderId="0" xfId="25" applyAlignment="1" applyBorder="1" applyFont="1" applyNumberFormat="1" applyFill="1" applyProtection="1"/>
    <xf xxid="1278" numFmtId="0" fontId="13" fillId="0" borderId="0" xfId="25" applyAlignment="1" applyBorder="1" applyFont="1" applyNumberFormat="1" applyFill="1" applyProtection="1">
      <alignment horizontal="center"/>
    </xf>
    <xf xxid="1279" numFmtId="167" fontId="2" fillId="7" borderId="0" xfId="1" applyAlignment="1" applyBorder="1" applyFont="1" applyNumberFormat="1" applyFill="1" applyProtection="1">
      <alignment horizontal="center" vertical="center"/>
    </xf>
    <xf xxid="1280" numFmtId="2" fontId="20" fillId="0" borderId="0" xfId="25" applyAlignment="1" applyBorder="1" applyFont="1" applyNumberFormat="1" applyFill="1" applyProtection="1"/>
    <xf xxid="1281" numFmtId="4" fontId="13" fillId="0" borderId="0" xfId="25" applyAlignment="1" applyBorder="1" applyFont="1" applyNumberFormat="1" applyFill="1" applyProtection="1"/>
    <xf xxid="1282" numFmtId="2" fontId="13" fillId="0" borderId="0" xfId="25" applyAlignment="1" applyBorder="1" applyFont="1" applyNumberFormat="1" applyFill="1" applyProtection="1"/>
    <xf xxid="1283" numFmtId="169" fontId="17" fillId="0" borderId="0" xfId="16" applyAlignment="1" applyBorder="1" applyFont="1" applyNumberFormat="1" applyFill="1" applyProtection="1">
      <alignment horizontal="center" vertical="center" wrapText="1"/>
      <protection locked="0"/>
    </xf>
    <xf xxid="1284" numFmtId="0" fontId="62" fillId="6" borderId="1" xfId="0" applyAlignment="1" applyBorder="1" applyFont="1" applyNumberFormat="1" applyFill="1" applyProtection="1">
      <protection hidden="1"/>
    </xf>
    <xf xxid="1285" numFmtId="169" fontId="62" fillId="6" borderId="6" xfId="19" applyAlignment="1" applyBorder="1" applyFont="1" applyNumberFormat="1" applyFill="1" applyProtection="1">
      <protection hidden="1"/>
    </xf>
    <xf xxid="1286" numFmtId="169" fontId="62" fillId="6" borderId="0" xfId="19" applyAlignment="1" applyBorder="1" applyFont="1" applyNumberFormat="1" applyFill="1" applyProtection="1">
      <protection hidden="1"/>
    </xf>
    <xf xxid="1287" numFmtId="169" fontId="62" fillId="6" borderId="8" xfId="19" applyAlignment="1" applyBorder="1" applyFont="1" applyNumberFormat="1" applyFill="1" applyProtection="1">
      <protection hidden="1"/>
    </xf>
    <xf xxid="1288" numFmtId="169" fontId="65" fillId="6" borderId="97" xfId="19" applyAlignment="1" applyBorder="1" applyFont="1" applyNumberFormat="1" applyFill="1" applyProtection="1">
      <protection hidden="1"/>
    </xf>
    <xf xxid="1289" numFmtId="169" fontId="65" fillId="6" borderId="1" xfId="19" applyAlignment="1" applyBorder="1" applyFont="1" applyNumberFormat="1" applyFill="1" applyProtection="1">
      <protection hidden="1"/>
    </xf>
    <xf xxid="1290" numFmtId="169" fontId="65" fillId="6" borderId="98" xfId="19" applyAlignment="1" applyBorder="1" applyFont="1" applyNumberFormat="1" applyFill="1" applyProtection="1">
      <protection hidden="1"/>
    </xf>
    <xf xxid="1291" numFmtId="0" fontId="2" fillId="0" borderId="0" xfId="4" applyAlignment="1" applyBorder="1" applyFont="1" applyNumberFormat="1" applyFill="1" applyProtection="1">
      <alignment horizontal="center"/>
    </xf>
    <xf xxid="1292" numFmtId="3" fontId="2" fillId="0" borderId="0" xfId="4" applyAlignment="1" applyBorder="1" applyFont="1" applyNumberFormat="1" applyFill="1" applyProtection="1"/>
    <xf xxid="1293" numFmtId="0" fontId="13" fillId="0" borderId="0" xfId="4" applyAlignment="1" applyBorder="1" applyFont="1" applyNumberFormat="1" applyFill="1" applyProtection="1">
      <alignment horizontal="center" vertical="center"/>
    </xf>
    <xf xxid="1294" numFmtId="0" fontId="5" fillId="0" borderId="0" xfId="4" applyAlignment="1" applyBorder="1" applyFont="1" applyNumberFormat="1" applyFill="1" applyProtection="1">
      <alignment vertical="center"/>
    </xf>
    <xf xxid="1295" numFmtId="3" fontId="5" fillId="0" borderId="0" xfId="4" applyAlignment="1" applyBorder="1" applyFont="1" applyNumberFormat="1" applyFill="1" applyProtection="1">
      <alignment vertical="center"/>
    </xf>
    <xf xxid="1296" numFmtId="0" fontId="5" fillId="0" borderId="0" xfId="4" applyAlignment="1" applyBorder="1" applyFont="1" applyNumberFormat="1" applyFill="1" applyProtection="1">
      <alignment horizontal="center" vertical="center"/>
    </xf>
    <xf xxid="1297" numFmtId="0" fontId="13" fillId="0" borderId="55" xfId="16" applyAlignment="1" applyBorder="1" applyFont="1" applyNumberFormat="1" applyFill="1" applyProtection="1">
      <alignment horizontal="center" vertical="center" wrapText="1"/>
    </xf>
    <xf xxid="1298" numFmtId="3" fontId="13" fillId="0" borderId="55" xfId="16" applyAlignment="1" applyBorder="1" applyFont="1" applyNumberFormat="1" applyFill="1" applyProtection="1">
      <alignment horizontal="center" vertical="center" wrapText="1"/>
    </xf>
    <xf xxid="1299" numFmtId="0" fontId="2" fillId="0" borderId="36" xfId="4" applyAlignment="1" applyBorder="1" applyFont="1" applyNumberFormat="1" applyFill="1" applyProtection="1">
      <alignment horizontal="center" vertical="top" wrapText="1"/>
    </xf>
    <xf xxid="1300" numFmtId="0" fontId="2" fillId="0" borderId="36" xfId="4" applyAlignment="1" applyBorder="1" applyFont="1" applyNumberFormat="1" applyFill="1" applyProtection="1">
      <alignment vertical="top"/>
    </xf>
    <xf xxid="1301" numFmtId="3" fontId="2" fillId="0" borderId="36" xfId="4" applyAlignment="1" applyBorder="1" applyFont="1" applyNumberFormat="1" applyFill="1" applyProtection="1">
      <alignment vertical="top"/>
    </xf>
    <xf xxid="1302" numFmtId="0" fontId="2" fillId="0" borderId="99" xfId="4" applyAlignment="1" applyBorder="1" applyFont="1" applyNumberFormat="1" applyFill="1" applyProtection="1">
      <alignment horizontal="center" vertical="top" wrapText="1"/>
    </xf>
    <xf xxid="1303" numFmtId="0" fontId="2" fillId="0" borderId="99" xfId="4" applyAlignment="1" applyBorder="1" applyFont="1" applyNumberFormat="1" applyFill="1" applyProtection="1">
      <alignment vertical="top"/>
    </xf>
    <xf xxid="1304" numFmtId="3" fontId="2" fillId="0" borderId="99" xfId="4" applyAlignment="1" applyBorder="1" applyFont="1" applyNumberFormat="1" applyFill="1" applyProtection="1">
      <alignment vertical="top"/>
    </xf>
    <xf xxid="1305" numFmtId="0" fontId="2" fillId="0" borderId="100" xfId="4" applyAlignment="1" applyBorder="1" applyFont="1" applyNumberFormat="1" applyFill="1" applyProtection="1">
      <alignment horizontal="center" vertical="top" wrapText="1"/>
    </xf>
    <xf xxid="1306" numFmtId="0" fontId="2" fillId="0" borderId="100" xfId="4" applyAlignment="1" applyBorder="1" applyFont="1" applyNumberFormat="1" applyFill="1" applyProtection="1">
      <alignment vertical="top"/>
    </xf>
    <xf xxid="1307" numFmtId="3" fontId="2" fillId="0" borderId="100" xfId="4" applyAlignment="1" applyBorder="1" applyFont="1" applyNumberFormat="1" applyFill="1" applyProtection="1">
      <alignment vertical="top"/>
    </xf>
    <xf xxid="1308" numFmtId="0" fontId="29" fillId="24" borderId="0" xfId="4" applyAlignment="1" applyBorder="1" applyFont="1" applyNumberFormat="1" applyFill="1" applyProtection="1">
      <protection locked="0"/>
    </xf>
    <xf xxid="1309" numFmtId="0" fontId="127" fillId="6" borderId="0" xfId="16" applyAlignment="1" applyBorder="1" applyFont="1" applyNumberFormat="1" applyFill="1" applyProtection="1">
      <alignment vertical="top" wrapText="1"/>
    </xf>
    <xf xxid="1310" numFmtId="0" fontId="17" fillId="0" borderId="0" xfId="0" applyAlignment="1" applyBorder="1" applyFont="1" applyNumberFormat="1" applyFill="1" applyProtection="1">
      <alignment horizontal="center" vertical="center"/>
      <protection locked="0"/>
    </xf>
    <xf xxid="1311" numFmtId="0" fontId="5" fillId="0" borderId="4" xfId="0" applyAlignment="1" applyBorder="1" applyFont="1" applyNumberFormat="1" applyFill="1" applyProtection="1">
      <alignment horizontal="left"/>
    </xf>
    <xf xxid="1312" numFmtId="0" fontId="17" fillId="0" borderId="101" xfId="0" applyAlignment="1" applyBorder="1" applyFont="1" applyNumberFormat="1" applyFill="1" applyProtection="1">
      <alignment horizontal="center"/>
      <protection locked="0"/>
    </xf>
    <xf xxid="1313" numFmtId="0" fontId="17" fillId="0" borderId="101" xfId="0" applyAlignment="1" applyBorder="1" applyFont="1" applyNumberFormat="1" applyFill="1" applyProtection="1">
      <alignment horizontal="center"/>
    </xf>
    <xf xxid="1314" numFmtId="0" fontId="75" fillId="0" borderId="0" xfId="0" applyAlignment="1" applyBorder="1" applyFont="1" applyNumberFormat="1" applyFill="1" applyProtection="1"/>
    <xf xxid="1315" numFmtId="0" fontId="128" fillId="0" borderId="0" xfId="0" applyAlignment="1" applyBorder="1" applyFont="1" applyNumberFormat="1" applyFill="1" applyProtection="1"/>
    <xf xxid="1316" numFmtId="169" fontId="62" fillId="6" borderId="0" xfId="16" applyAlignment="1" applyBorder="1" applyFont="1" applyNumberFormat="1" applyFill="1" applyProtection="1">
      <protection hidden="1"/>
    </xf>
    <xf xxid="1317" numFmtId="0" fontId="17" fillId="0" borderId="10" xfId="0" applyAlignment="1" applyBorder="1" applyFont="1" applyNumberFormat="1" applyFill="1" applyProtection="1">
      <alignment horizontal="center" vertical="center"/>
      <protection locked="0"/>
    </xf>
    <xf xxid="1318" numFmtId="0" fontId="17" fillId="0" borderId="12" xfId="0" applyAlignment="1" applyBorder="1" applyFont="1" applyNumberFormat="1" applyFill="1" applyProtection="1">
      <alignment horizontal="center" vertical="center"/>
      <protection locked="0"/>
    </xf>
    <xf xxid="1319" numFmtId="0" fontId="3" fillId="0" borderId="0" xfId="16" applyAlignment="1" applyBorder="1" applyFont="1" applyNumberFormat="1" applyFill="1" applyProtection="1">
      <alignment horizontal="center" vertical="center"/>
      <protection locked="0"/>
    </xf>
    <xf xxid="1320" numFmtId="0" fontId="3" fillId="0" borderId="12" xfId="16" applyAlignment="1" applyBorder="1" applyFont="1" applyNumberFormat="1" applyFill="1" applyProtection="1">
      <alignment horizontal="center" vertical="center"/>
      <protection locked="0"/>
    </xf>
    <xf xxid="1321" numFmtId="0" fontId="3" fillId="0" borderId="9" xfId="16" applyAlignment="1" applyBorder="1" applyFont="1" applyNumberFormat="1" applyFill="1" applyProtection="1">
      <alignment horizontal="center" vertical="center"/>
    </xf>
    <xf xxid="1322" numFmtId="0" fontId="3" fillId="0" borderId="19" xfId="0" applyAlignment="1" applyBorder="1" applyFont="1" applyNumberFormat="1" applyFill="1" applyProtection="1">
      <alignment horizontal="center" vertical="center"/>
    </xf>
    <xf xxid="1323" numFmtId="0" fontId="3" fillId="0" borderId="37" xfId="0" applyAlignment="1" applyBorder="1" applyFont="1" applyNumberFormat="1" applyFill="1" applyProtection="1">
      <alignment horizontal="center" vertical="center"/>
    </xf>
    <xf xxid="1324" numFmtId="0" fontId="3" fillId="0" borderId="9" xfId="16" applyAlignment="1" applyBorder="1" applyFont="1" applyNumberFormat="1" applyFill="1" applyProtection="1">
      <alignment horizontal="center"/>
    </xf>
    <xf xxid="1325" numFmtId="167" fontId="17" fillId="0" borderId="23" xfId="0" applyAlignment="1" applyBorder="1" applyFont="1" applyNumberFormat="1" applyFill="1" applyProtection="1">
      <alignment horizontal="center" vertical="center" wrapText="1"/>
    </xf>
    <xf xxid="1326" numFmtId="167" fontId="17" fillId="0" borderId="9" xfId="0" applyAlignment="1" applyBorder="1" applyFont="1" applyNumberFormat="1" applyFill="1" applyProtection="1">
      <alignment horizontal="center" vertical="center" wrapText="1"/>
    </xf>
    <xf xxid="1327" numFmtId="167" fontId="17" fillId="0" borderId="22" xfId="0" applyAlignment="1" applyBorder="1" applyFont="1" applyNumberFormat="1" applyFill="1" applyProtection="1">
      <alignment horizontal="center" vertical="center" wrapText="1"/>
    </xf>
    <xf xxid="1328" numFmtId="167" fontId="36" fillId="0" borderId="9" xfId="0" applyAlignment="1" applyBorder="1" applyFont="1" applyNumberFormat="1" applyFill="1" applyProtection="1">
      <alignment horizontal="center" vertical="center" wrapText="1"/>
    </xf>
    <xf xxid="1329" numFmtId="0" fontId="17" fillId="0" borderId="23" xfId="0" applyAlignment="1" applyBorder="1" applyFont="1" applyNumberFormat="1" applyFill="1" applyProtection="1">
      <alignment horizontal="center" vertical="center"/>
    </xf>
    <xf xxid="1330" numFmtId="0" fontId="17" fillId="0" borderId="9" xfId="0" applyAlignment="1" applyBorder="1" applyFont="1" applyNumberFormat="1" applyFill="1" applyProtection="1">
      <alignment horizontal="center" vertical="center"/>
    </xf>
    <xf xxid="1331" numFmtId="0" fontId="17" fillId="0" borderId="22" xfId="0" applyAlignment="1" applyBorder="1" applyFont="1" applyNumberFormat="1" applyFill="1" applyProtection="1">
      <alignment horizontal="center" vertical="center"/>
    </xf>
    <xf xxid="1332" numFmtId="169" fontId="17" fillId="0" borderId="0" xfId="16" applyAlignment="1" applyBorder="1" applyFont="1" applyNumberFormat="1" applyFill="1" applyProtection="1">
      <alignment horizontal="center" vertical="center"/>
    </xf>
    <xf xxid="1333" numFmtId="0" fontId="3" fillId="0" borderId="15" xfId="0" applyAlignment="1" applyBorder="1" applyFont="1" applyNumberFormat="1" applyFill="1" applyProtection="1">
      <alignment horizontal="center" vertical="center"/>
    </xf>
    <xf xxid="1334" numFmtId="166" fontId="17" fillId="0" borderId="10" xfId="16" applyAlignment="1" applyBorder="1" applyFont="1" applyNumberFormat="1" applyFill="1" applyProtection="1">
      <alignment horizontal="right" vertical="center"/>
    </xf>
    <xf xxid="1335" numFmtId="166" fontId="17" fillId="0" borderId="0" xfId="16" applyAlignment="1" applyBorder="1" applyFont="1" applyNumberFormat="1" applyFill="1" applyProtection="1">
      <alignment horizontal="right" vertical="center"/>
    </xf>
    <xf xxid="1336" numFmtId="0" fontId="3" fillId="0" borderId="9" xfId="0" applyAlignment="1" applyBorder="1" applyFont="1" applyNumberFormat="1" applyFill="1" applyProtection="1">
      <alignment horizontal="center" vertical="center"/>
    </xf>
    <xf xxid="1337" numFmtId="0" fontId="17" fillId="0" borderId="10" xfId="16" applyAlignment="1" applyBorder="1" applyFont="1" applyNumberFormat="1" applyFill="1" applyProtection="1">
      <alignment horizontal="center" vertical="center"/>
    </xf>
    <xf xxid="1338" numFmtId="169" fontId="17" fillId="0" borderId="0" xfId="16" applyAlignment="1" applyBorder="1" applyFont="1" applyNumberFormat="1" applyFill="1" applyProtection="1">
      <alignment horizontal="left" vertical="center"/>
    </xf>
    <xf xxid="1339" numFmtId="169" fontId="17" fillId="0" borderId="12" xfId="16" applyAlignment="1" applyBorder="1" applyFont="1" applyNumberFormat="1" applyFill="1" applyProtection="1">
      <alignment horizontal="left" vertical="center"/>
    </xf>
    <xf xxid="1340" numFmtId="0" fontId="3" fillId="0" borderId="23" xfId="0" applyAlignment="1" applyBorder="1" applyFont="1" applyNumberFormat="1" applyFill="1" applyProtection="1">
      <alignment horizontal="center" vertical="center" wrapText="1"/>
    </xf>
    <xf xxid="1341" numFmtId="169" fontId="17" fillId="0" borderId="0" xfId="0" applyAlignment="1" applyBorder="1" applyFont="1" applyNumberFormat="1" applyFill="1" applyProtection="1">
      <alignment horizontal="left" vertical="center"/>
    </xf>
    <xf xxid="1342" numFmtId="169" fontId="17" fillId="0" borderId="12" xfId="0" applyAlignment="1" applyBorder="1" applyFont="1" applyNumberFormat="1" applyFill="1" applyProtection="1">
      <alignment horizontal="left" vertical="center"/>
    </xf>
    <xf xxid="1343" numFmtId="169" fontId="17" fillId="0" borderId="9" xfId="0" applyAlignment="1" applyBorder="1" applyFont="1" applyNumberFormat="1" applyFill="1" applyProtection="1">
      <alignment horizontal="left" vertical="center"/>
    </xf>
    <xf xxid="1344" numFmtId="169" fontId="17" fillId="0" borderId="22" xfId="0" applyAlignment="1" applyBorder="1" applyFont="1" applyNumberFormat="1" applyFill="1" applyProtection="1">
      <alignment horizontal="left" vertical="center"/>
    </xf>
    <xf xxid="1345" numFmtId="0" fontId="17" fillId="0" borderId="23" xfId="0" applyAlignment="1" applyBorder="1" applyFont="1" applyNumberFormat="1" applyFill="1" applyProtection="1">
      <alignment horizontal="center" vertical="center" wrapText="1"/>
    </xf>
    <xf xxid="1346" numFmtId="0" fontId="17" fillId="0" borderId="9" xfId="0" applyAlignment="1" applyBorder="1" applyFont="1" applyNumberFormat="1" applyFill="1" applyProtection="1">
      <alignment horizontal="center" vertical="center" wrapText="1"/>
    </xf>
    <xf xxid="1347" numFmtId="0" fontId="17" fillId="0" borderId="22" xfId="0" applyAlignment="1" applyBorder="1" applyFont="1" applyNumberFormat="1" applyFill="1" applyProtection="1">
      <alignment horizontal="center" vertical="center" wrapText="1"/>
    </xf>
    <xf xxid="1348" numFmtId="169" fontId="17" fillId="0" borderId="0" xfId="0" applyAlignment="1" applyBorder="1" applyFont="1" applyNumberFormat="1" applyFill="1" applyProtection="1">
      <alignment horizontal="right" vertical="center"/>
    </xf>
    <xf xxid="1349" numFmtId="169" fontId="17" fillId="0" borderId="12" xfId="0" applyAlignment="1" applyBorder="1" applyFont="1" applyNumberFormat="1" applyFill="1" applyProtection="1">
      <alignment horizontal="right" vertical="center"/>
    </xf>
    <xf xxid="1350" numFmtId="0" fontId="17" fillId="0" borderId="12" xfId="0" applyAlignment="1" applyBorder="1" applyFont="1" applyNumberFormat="1" applyFill="1" applyProtection="1">
      <alignment vertical="center"/>
    </xf>
    <xf xxid="1351" numFmtId="0" fontId="3" fillId="0" borderId="0" xfId="0" applyAlignment="1" applyBorder="1" applyFont="1" applyNumberFormat="1" applyFill="1" applyProtection="1">
      <alignment horizontal="left" vertical="center" wrapText="1"/>
    </xf>
    <xf xxid="1352" numFmtId="0" fontId="3" fillId="0" borderId="12" xfId="0" applyAlignment="1" applyBorder="1" applyFont="1" applyNumberFormat="1" applyFill="1" applyProtection="1">
      <alignment horizontal="left" vertical="center" wrapText="1"/>
    </xf>
    <xf xxid="1353" numFmtId="0" fontId="17" fillId="0" borderId="7" xfId="0" applyAlignment="1" applyBorder="1" applyFont="1" applyNumberFormat="1" applyFill="1" applyProtection="1">
      <alignment horizontal="center"/>
    </xf>
    <xf xxid="1354" numFmtId="169" fontId="17" fillId="0" borderId="7" xfId="0" applyAlignment="1" applyBorder="1" applyFont="1" applyNumberFormat="1" applyFill="1" applyProtection="1">
      <alignment horizontal="center"/>
      <protection locked="0"/>
    </xf>
    <xf xxid="1355" numFmtId="169" fontId="17" fillId="0" borderId="7" xfId="0" applyAlignment="1" applyBorder="1" applyFont="1" applyNumberFormat="1" applyFill="1" applyProtection="1">
      <alignment horizontal="center"/>
      <protection hidden="1"/>
    </xf>
    <xf xxid="1356" numFmtId="0" fontId="17" fillId="0" borderId="7" xfId="0" applyAlignment="1" applyBorder="1" applyFont="1" applyNumberFormat="1" applyFill="1" applyProtection="1">
      <alignment horizontal="center"/>
      <protection hidden="1"/>
    </xf>
    <xf xxid="1357" numFmtId="169" fontId="17" fillId="0" borderId="7" xfId="0" applyAlignment="1" applyBorder="1" applyFont="1" applyNumberFormat="1" applyFill="1" applyProtection="1">
      <alignment horizontal="center"/>
    </xf>
    <xf xxid="1358" numFmtId="0" fontId="10" fillId="0" borderId="7" xfId="0" applyAlignment="1" applyBorder="1" applyFont="1" applyNumberFormat="1" applyFill="1" applyProtection="1">
      <alignment horizontal="right"/>
    </xf>
    <xf xxid="1359" numFmtId="0" fontId="10" fillId="0" borderId="7" xfId="0" applyAlignment="1" applyBorder="1" applyFont="1" applyNumberFormat="1" applyFill="1" applyProtection="1"/>
    <xf xxid="1360" numFmtId="0" fontId="23" fillId="0" borderId="23" xfId="0" applyAlignment="1" applyBorder="1" applyFont="1" applyNumberFormat="1" applyFill="1" applyProtection="1"/>
    <xf xxid="1361" numFmtId="0" fontId="7" fillId="0" borderId="22" xfId="0" applyAlignment="1" applyBorder="1" applyFont="1" applyNumberFormat="1" applyFill="1" applyProtection="1"/>
    <xf xxid="1362" numFmtId="0" fontId="11" fillId="0" borderId="10" xfId="0" applyAlignment="1" applyBorder="1" applyFont="1" applyNumberFormat="1" applyFill="1" applyProtection="1"/>
    <xf xxid="1363" numFmtId="0" fontId="9" fillId="0" borderId="19" xfId="0" applyAlignment="1" applyBorder="1" applyFont="1" applyNumberFormat="1" applyFill="1" applyProtection="1"/>
    <xf xxid="1364" numFmtId="169" fontId="17" fillId="0" borderId="7" xfId="0" applyAlignment="1" applyBorder="1" applyFont="1" applyNumberFormat="1" applyFill="1" applyProtection="1">
      <alignment horizontal="left"/>
    </xf>
    <xf xxid="1365" numFmtId="0" fontId="17" fillId="0" borderId="7" xfId="0" applyAlignment="1" applyBorder="1" applyFont="1" applyNumberFormat="1" applyFill="1" applyProtection="1">
      <alignment horizontal="center" vertical="center"/>
    </xf>
    <xf xxid="1366" numFmtId="0" fontId="5" fillId="0" borderId="7" xfId="0" applyAlignment="1" applyBorder="1" applyFont="1" applyNumberFormat="1" applyFill="1" applyProtection="1">
      <alignment horizontal="center" vertical="center"/>
    </xf>
    <xf xxid="1367" numFmtId="0" fontId="41" fillId="0" borderId="7" xfId="0" applyAlignment="1" applyBorder="1" applyFont="1" applyNumberFormat="1" applyFill="1" applyProtection="1">
      <alignment horizontal="center"/>
    </xf>
    <xf xxid="1368" numFmtId="181" fontId="41" fillId="0" borderId="7" xfId="0" applyAlignment="1" applyBorder="1" applyFont="1" applyNumberFormat="1" applyFill="1" applyProtection="1">
      <protection locked="0"/>
    </xf>
    <xf xxid="1369" numFmtId="181" fontId="17" fillId="0" borderId="7" xfId="0" applyAlignment="1" applyBorder="1" applyFont="1" applyNumberFormat="1" applyFill="1" applyProtection="1">
      <protection locked="0"/>
    </xf>
    <xf xxid="1370" numFmtId="0" fontId="3" fillId="0" borderId="23" xfId="16" applyAlignment="1" applyBorder="1" applyFont="1" applyNumberFormat="1" applyFill="1" applyProtection="1"/>
    <xf xxid="1371" numFmtId="0" fontId="3" fillId="0" borderId="9" xfId="16" applyAlignment="1" applyBorder="1" applyFont="1" applyNumberFormat="1" applyFill="1" applyProtection="1"/>
    <xf xxid="1372" numFmtId="0" fontId="3" fillId="0" borderId="22" xfId="16" applyAlignment="1" applyBorder="1" applyFont="1" applyNumberFormat="1" applyFill="1" applyProtection="1"/>
    <xf xxid="1373" numFmtId="169" fontId="17" fillId="0" borderId="20" xfId="0" applyAlignment="1" applyBorder="1" applyFont="1" applyNumberFormat="1" applyFill="1" applyProtection="1">
      <alignment vertical="center" wrapText="1"/>
    </xf>
    <xf xxid="1374" numFmtId="0" fontId="17" fillId="0" borderId="9" xfId="0" applyAlignment="1" applyBorder="1" applyFont="1" applyNumberFormat="1" applyFill="1" applyProtection="1">
      <alignment vertical="center" wrapText="1"/>
    </xf>
    <xf xxid="1375" numFmtId="0" fontId="37" fillId="0" borderId="9" xfId="0" applyAlignment="1" applyBorder="1" applyFont="1" applyNumberFormat="1" applyFill="1" applyProtection="1">
      <alignment horizontal="center" vertical="center" wrapText="1"/>
    </xf>
    <xf xxid="1376" numFmtId="0" fontId="37" fillId="0" borderId="9" xfId="0" applyAlignment="1" applyBorder="1" applyFont="1" applyNumberFormat="1" applyFill="1" applyProtection="1">
      <alignment horizontal="center" vertical="center"/>
    </xf>
    <xf xxid="1377" numFmtId="0" fontId="17" fillId="0" borderId="22" xfId="0" applyAlignment="1" applyBorder="1" applyFont="1" applyNumberFormat="1" applyFill="1" applyProtection="1">
      <alignment vertical="center" wrapText="1"/>
    </xf>
    <xf xxid="1378" numFmtId="0" fontId="17" fillId="0" borderId="22" xfId="0" applyAlignment="1" applyBorder="1" applyFont="1" applyNumberFormat="1" applyFill="1" applyProtection="1">
      <alignment vertical="center"/>
    </xf>
    <xf xxid="1379" numFmtId="0" fontId="9" fillId="0" borderId="7" xfId="0" applyAlignment="1" applyBorder="1" applyFont="1" applyNumberFormat="1" applyFill="1" applyProtection="1">
      <alignment horizontal="center" vertical="center"/>
    </xf>
    <xf xxid="1380" numFmtId="181" fontId="41" fillId="0" borderId="7" xfId="0" applyAlignment="1" applyBorder="1" applyFont="1" applyNumberFormat="1" applyFill="1" applyProtection="1">
      <alignment horizontal="center"/>
    </xf>
    <xf xxid="1381" numFmtId="0" fontId="20" fillId="0" borderId="23" xfId="16" applyAlignment="1" applyBorder="1" applyFont="1" applyNumberFormat="1" applyFill="1" applyProtection="1">
      <alignment vertical="top"/>
    </xf>
    <xf xxid="1382" numFmtId="0" fontId="20" fillId="0" borderId="9" xfId="16" applyAlignment="1" applyBorder="1" applyFont="1" applyNumberFormat="1" applyFill="1" applyProtection="1">
      <alignment vertical="top"/>
    </xf>
    <xf xxid="1383" numFmtId="0" fontId="20" fillId="0" borderId="22" xfId="16" applyAlignment="1" applyBorder="1" applyFont="1" applyNumberFormat="1" applyFill="1" applyProtection="1">
      <alignment vertical="top"/>
    </xf>
    <xf xxid="1384" numFmtId="0" fontId="3" fillId="0" borderId="9" xfId="16" applyAlignment="1" applyBorder="1" applyFont="1" applyNumberFormat="1" applyFill="1" applyProtection="1">
      <alignment vertical="center"/>
    </xf>
    <xf xxid="1385" numFmtId="0" fontId="3" fillId="0" borderId="22" xfId="0" applyAlignment="1" applyBorder="1" applyFont="1" applyNumberFormat="1" applyFill="1" applyProtection="1"/>
    <xf xxid="1386" numFmtId="0" fontId="20" fillId="0" borderId="8" xfId="16" applyAlignment="1" applyBorder="1" applyFont="1" applyNumberFormat="1" applyFill="1" applyProtection="1">
      <alignment vertical="center"/>
    </xf>
    <xf xxid="1387" numFmtId="0" fontId="20" fillId="0" borderId="20" xfId="16" applyAlignment="1" applyBorder="1" applyFont="1" applyNumberFormat="1" applyFill="1" applyProtection="1">
      <alignment vertical="center"/>
    </xf>
    <xf xxid="1388" numFmtId="0" fontId="20" fillId="0" borderId="23" xfId="16" applyAlignment="1" applyBorder="1" applyFont="1" applyNumberFormat="1" applyFill="1" applyProtection="1">
      <alignment vertical="center"/>
    </xf>
    <xf xxid="1389" numFmtId="0" fontId="20" fillId="0" borderId="9" xfId="16" applyAlignment="1" applyBorder="1" applyFont="1" applyNumberFormat="1" applyFill="1" applyProtection="1">
      <alignment vertical="center"/>
    </xf>
    <xf xxid="1390" numFmtId="0" fontId="20" fillId="0" borderId="22" xfId="16" applyAlignment="1" applyBorder="1" applyFont="1" applyNumberFormat="1" applyFill="1" applyProtection="1">
      <alignment vertical="center"/>
    </xf>
    <xf xxid="1391" numFmtId="0" fontId="20" fillId="0" borderId="20" xfId="16" applyAlignment="1" applyBorder="1" applyFont="1" applyNumberFormat="1" applyFill="1" applyProtection="1">
      <alignment vertical="top"/>
    </xf>
    <xf xxid="1392" numFmtId="0" fontId="20" fillId="0" borderId="9" xfId="16" applyAlignment="1" applyBorder="1" applyFont="1" applyNumberFormat="1" applyFill="1" applyProtection="1">
      <alignment horizontal="center" vertical="top"/>
    </xf>
    <xf xxid="1393" numFmtId="0" fontId="3" fillId="16" borderId="9" xfId="16" applyAlignment="1" applyBorder="1" applyFont="1" applyNumberFormat="1" applyFill="1" applyProtection="1">
      <alignment horizontal="center" vertical="center"/>
    </xf>
    <xf xxid="1394" numFmtId="0" fontId="3" fillId="16" borderId="9" xfId="16" applyAlignment="1" applyBorder="1" applyFont="1" applyNumberFormat="1" applyFill="1" applyProtection="1">
      <alignment vertical="center"/>
    </xf>
    <xf xxid="1395" numFmtId="0" fontId="3" fillId="16" borderId="22" xfId="0" applyAlignment="1" applyBorder="1" applyFont="1" applyNumberFormat="1" applyFill="1" applyProtection="1"/>
    <xf xxid="1396" numFmtId="169" fontId="17" fillId="16" borderId="20" xfId="16" applyAlignment="1" applyBorder="1" applyFont="1" applyNumberFormat="1" applyFill="1" applyProtection="1">
      <alignment vertical="center"/>
    </xf>
    <xf xxid="1397" numFmtId="169" fontId="17" fillId="16" borderId="20" xfId="0" applyAlignment="1" applyBorder="1" applyFont="1" applyNumberFormat="1" applyFill="1" applyProtection="1"/>
    <xf xxid="1398" numFmtId="166" fontId="17" fillId="0" borderId="23" xfId="16" applyAlignment="1" applyBorder="1" applyFont="1" applyNumberFormat="1" applyFill="1" applyProtection="1">
      <alignment vertical="center"/>
    </xf>
    <xf xxid="1399" numFmtId="166" fontId="17" fillId="0" borderId="9" xfId="16" applyAlignment="1" applyBorder="1" applyFont="1" applyNumberFormat="1" applyFill="1" applyProtection="1">
      <alignment vertical="center"/>
    </xf>
    <xf xxid="1400" numFmtId="166" fontId="17" fillId="0" borderId="9" xfId="16" applyAlignment="1" applyBorder="1" applyFont="1" applyNumberFormat="1" applyFill="1" applyProtection="1"/>
    <xf xxid="1401" numFmtId="0" fontId="17" fillId="0" borderId="12" xfId="16" applyAlignment="1" applyBorder="1" applyFont="1" applyNumberFormat="1" applyFill="1" applyProtection="1">
      <alignment vertical="center"/>
    </xf>
    <xf xxid="1402" numFmtId="169" fontId="17" fillId="0" borderId="23" xfId="16" applyAlignment="1" applyBorder="1" applyFont="1" applyNumberFormat="1" applyFill="1" applyProtection="1">
      <alignment vertical="center"/>
    </xf>
    <xf xxid="1403" numFmtId="169" fontId="17" fillId="0" borderId="9" xfId="16" applyAlignment="1" applyBorder="1" applyFont="1" applyNumberFormat="1" applyFill="1" applyProtection="1">
      <alignment vertical="center"/>
    </xf>
    <xf xxid="1404" numFmtId="169" fontId="17" fillId="0" borderId="0" xfId="16" applyAlignment="1" applyBorder="1" applyFont="1" applyNumberFormat="1" applyFill="1" applyProtection="1">
      <alignment horizontal="right" vertical="center"/>
    </xf>
    <xf xxid="1405" numFmtId="169" fontId="17" fillId="0" borderId="12" xfId="16" applyAlignment="1" applyBorder="1" applyFont="1" applyNumberFormat="1" applyFill="1" applyProtection="1">
      <alignment horizontal="right" vertical="center"/>
    </xf>
    <xf xxid="1406" numFmtId="0" fontId="3" fillId="0" borderId="12" xfId="16" applyAlignment="1" applyBorder="1" applyFont="1" applyNumberFormat="1" applyFill="1" applyProtection="1">
      <alignment horizontal="left" vertical="center"/>
    </xf>
    <xf xxid="1407" numFmtId="169" fontId="3" fillId="0" borderId="10" xfId="16" applyAlignment="1" applyBorder="1" applyFont="1" applyNumberFormat="1" applyFill="1" applyProtection="1">
      <alignment vertical="center"/>
      <protection locked="0"/>
    </xf>
    <xf xxid="1408" numFmtId="169" fontId="3" fillId="0" borderId="23" xfId="16" applyAlignment="1" applyBorder="1" applyFont="1" applyNumberFormat="1" applyFill="1" applyProtection="1">
      <alignment vertical="center"/>
    </xf>
    <xf xxid="1409" numFmtId="169" fontId="3" fillId="0" borderId="22" xfId="16" applyAlignment="1" applyBorder="1" applyFont="1" applyNumberFormat="1" applyFill="1" applyProtection="1">
      <alignment vertical="center"/>
    </xf>
    <xf xxid="1410" numFmtId="169" fontId="3" fillId="0" borderId="9" xfId="16" applyAlignment="1" applyBorder="1" applyFont="1" applyNumberFormat="1" applyFill="1" applyProtection="1">
      <alignment horizontal="left" vertical="center"/>
    </xf>
    <xf xxid="1411" numFmtId="169" fontId="3" fillId="0" borderId="22" xfId="16" applyAlignment="1" applyBorder="1" applyFont="1" applyNumberFormat="1" applyFill="1" applyProtection="1">
      <alignment horizontal="left" vertical="center"/>
    </xf>
    <xf xxid="1412" numFmtId="169" fontId="17" fillId="0" borderId="23" xfId="16" applyAlignment="1" applyBorder="1" applyFont="1" applyNumberFormat="1" applyFill="1" applyProtection="1">
      <alignment vertical="center"/>
      <protection locked="0"/>
    </xf>
    <xf xxid="1413" numFmtId="169" fontId="17" fillId="0" borderId="9" xfId="16" applyAlignment="1" applyBorder="1" applyFont="1" applyNumberFormat="1" applyFill="1" applyProtection="1">
      <alignment vertical="center"/>
      <protection locked="0"/>
    </xf>
    <xf xxid="1414" numFmtId="169" fontId="17" fillId="0" borderId="22" xfId="0" applyAlignment="1" applyBorder="1" applyFont="1" applyNumberFormat="1" applyFill="1" applyProtection="1">
      <alignment horizontal="right" vertical="center"/>
    </xf>
    <xf xxid="1415" numFmtId="169" fontId="3" fillId="0" borderId="22" xfId="0" applyAlignment="1" applyBorder="1" applyFont="1" applyNumberFormat="1" applyFill="1" applyProtection="1">
      <alignment vertical="center"/>
    </xf>
    <xf xxid="1416" numFmtId="0" fontId="9" fillId="0" borderId="7" xfId="0" applyAlignment="1" applyBorder="1" applyFont="1" applyNumberFormat="1" applyFill="1" applyProtection="1">
      <alignment horizontal="center" vertical="center"/>
      <protection locked="0"/>
    </xf>
    <xf xxid="1417" numFmtId="0" fontId="3" fillId="16" borderId="9" xfId="0" applyAlignment="1" applyBorder="1" applyFont="1" applyNumberFormat="1" applyFill="1" applyProtection="1">
      <alignment horizontal="center" vertical="center"/>
    </xf>
    <xf xxid="1418" numFmtId="0" fontId="3" fillId="16" borderId="9" xfId="0" applyAlignment="1" applyBorder="1" applyFont="1" applyNumberFormat="1" applyFill="1" applyProtection="1">
      <alignment vertical="center"/>
    </xf>
    <xf xxid="1419" numFmtId="169" fontId="17" fillId="16" borderId="20" xfId="0" applyAlignment="1" applyBorder="1" applyFont="1" applyNumberFormat="1" applyFill="1" applyProtection="1">
      <alignment vertical="center"/>
    </xf>
    <xf xxid="1420" numFmtId="166" fontId="17" fillId="0" borderId="23" xfId="0" applyAlignment="1" applyBorder="1" applyFont="1" applyNumberFormat="1" applyFill="1" applyProtection="1">
      <alignment vertical="center"/>
      <protection locked="0"/>
    </xf>
    <xf xxid="1421" numFmtId="166" fontId="17" fillId="0" borderId="9" xfId="0" applyAlignment="1" applyBorder="1" applyFont="1" applyNumberFormat="1" applyFill="1" applyProtection="1">
      <alignment vertical="center"/>
      <protection locked="0"/>
    </xf>
    <xf xxid="1422" numFmtId="166" fontId="17" fillId="0" borderId="9" xfId="0" applyAlignment="1" applyBorder="1" applyFont="1" applyNumberFormat="1" applyFill="1" applyProtection="1">
      <protection locked="0"/>
    </xf>
    <xf xxid="1423" numFmtId="169" fontId="17" fillId="0" borderId="23" xfId="0" applyAlignment="1" applyBorder="1" applyFont="1" applyNumberFormat="1" applyFill="1" applyProtection="1">
      <alignment vertical="center"/>
    </xf>
    <xf xxid="1424" numFmtId="169" fontId="17" fillId="0" borderId="9" xfId="0" applyAlignment="1" applyBorder="1" applyFont="1" applyNumberFormat="1" applyFill="1" applyProtection="1">
      <alignment vertical="center"/>
    </xf>
    <xf xxid="1425" numFmtId="0" fontId="17" fillId="0" borderId="0" xfId="16" applyAlignment="1" applyBorder="1" applyFont="1" applyNumberFormat="1" applyFill="1" applyProtection="1">
      <alignment horizontal="center" vertical="center"/>
      <protection locked="0"/>
    </xf>
    <xf xxid="1426" numFmtId="0" fontId="17" fillId="0" borderId="12" xfId="16" applyAlignment="1" applyBorder="1" applyFont="1" applyNumberFormat="1" applyFill="1" applyProtection="1">
      <alignment horizontal="center" vertical="center"/>
      <protection locked="0"/>
    </xf>
    <xf xxid="1427" numFmtId="0" fontId="3" fillId="0" borderId="12" xfId="0" applyAlignment="1" applyBorder="1" applyFont="1" applyNumberFormat="1" applyFill="1" applyProtection="1">
      <alignment horizontal="left" vertical="center"/>
    </xf>
    <xf xxid="1428" numFmtId="166" fontId="62" fillId="6" borderId="13" xfId="0" applyAlignment="1" applyBorder="1" applyFont="1" applyNumberFormat="1" applyFill="1" applyProtection="1">
      <protection hidden="1"/>
    </xf>
    <xf xxid="1429" numFmtId="166" fontId="62" fillId="6" borderId="6" xfId="0" applyAlignment="1" applyBorder="1" applyFont="1" applyNumberFormat="1" applyFill="1" applyProtection="1">
      <protection hidden="1"/>
    </xf>
    <xf xxid="1430" numFmtId="166" fontId="62" fillId="6" borderId="63" xfId="0" applyAlignment="1" applyBorder="1" applyFont="1" applyNumberFormat="1" applyFill="1" applyProtection="1">
      <protection hidden="1"/>
    </xf>
    <xf xxid="1431" numFmtId="166" fontId="62" fillId="6" borderId="76" xfId="0" applyAlignment="1" applyBorder="1" applyFont="1" applyNumberFormat="1" applyFill="1" applyProtection="1">
      <protection hidden="1"/>
    </xf>
    <xf xxid="1432" numFmtId="169" fontId="62" fillId="7" borderId="76" xfId="3" applyAlignment="1" applyBorder="1" applyFont="1" applyNumberFormat="1" applyFill="1" applyProtection="1">
      <protection hidden="1"/>
    </xf>
    <xf xxid="1433" numFmtId="169" fontId="62" fillId="7" borderId="6" xfId="3" applyAlignment="1" applyBorder="1" applyFont="1" applyNumberFormat="1" applyFill="1" applyProtection="1">
      <protection hidden="1"/>
    </xf>
    <xf xxid="1434" numFmtId="169" fontId="62" fillId="7" borderId="2" xfId="3" applyAlignment="1" applyBorder="1" applyFont="1" applyNumberFormat="1" applyFill="1" applyProtection="1">
      <protection hidden="1"/>
    </xf>
    <xf xxid="1435" numFmtId="181" fontId="62" fillId="6" borderId="14" xfId="0" applyAlignment="1" applyBorder="1" applyFont="1" applyNumberFormat="1" applyFill="1" applyProtection="1">
      <protection hidden="1"/>
    </xf>
    <xf xxid="1436" numFmtId="181" fontId="62" fillId="6" borderId="1" xfId="0" applyAlignment="1" applyBorder="1" applyFont="1" applyNumberFormat="1" applyFill="1" applyProtection="1">
      <protection hidden="1"/>
    </xf>
    <xf xxid="1437" numFmtId="166" fontId="62" fillId="6" borderId="97" xfId="0" applyAlignment="1" applyBorder="1" applyFont="1" applyNumberFormat="1" applyFill="1" applyProtection="1">
      <protection hidden="1"/>
    </xf>
    <xf xxid="1438" numFmtId="166" fontId="62" fillId="6" borderId="1" xfId="0" applyAlignment="1" applyBorder="1" applyFont="1" applyNumberFormat="1" applyFill="1" applyProtection="1">
      <protection hidden="1"/>
    </xf>
    <xf xxid="1439" numFmtId="166" fontId="62" fillId="7" borderId="98" xfId="3" applyAlignment="1" applyBorder="1" applyFont="1" applyNumberFormat="1" applyFill="1" applyProtection="1">
      <protection hidden="1"/>
    </xf>
    <xf xxid="1440" numFmtId="184" fontId="62" fillId="7" borderId="1" xfId="3" applyAlignment="1" applyBorder="1" applyFont="1" applyNumberFormat="1" applyFill="1" applyProtection="1">
      <protection hidden="1"/>
    </xf>
    <xf xxid="1441" numFmtId="184" fontId="62" fillId="7" borderId="98" xfId="3" applyAlignment="1" applyBorder="1" applyFont="1" applyNumberFormat="1" applyFill="1" applyProtection="1">
      <protection hidden="1"/>
    </xf>
    <xf xxid="1442" numFmtId="175" fontId="62" fillId="7" borderId="97" xfId="1" applyAlignment="1" applyBorder="1" applyFont="1" applyNumberFormat="1" applyFill="1" applyProtection="1">
      <protection hidden="1"/>
    </xf>
    <xf xxid="1443" numFmtId="175" fontId="62" fillId="7" borderId="1" xfId="1" applyAlignment="1" applyBorder="1" applyFont="1" applyNumberFormat="1" applyFill="1" applyProtection="1">
      <protection hidden="1"/>
    </xf>
    <xf xxid="1444" numFmtId="175" fontId="62" fillId="7" borderId="98" xfId="1" applyAlignment="1" applyBorder="1" applyFont="1" applyNumberFormat="1" applyFill="1" applyProtection="1">
      <protection hidden="1"/>
    </xf>
    <xf xxid="1445" numFmtId="182" fontId="62" fillId="7" borderId="1" xfId="3" applyAlignment="1" applyBorder="1" applyFont="1" applyNumberFormat="1" applyFill="1" applyProtection="1">
      <protection hidden="1"/>
    </xf>
    <xf xxid="1446" numFmtId="182" fontId="62" fillId="7" borderId="98" xfId="3" applyAlignment="1" applyBorder="1" applyFont="1" applyNumberFormat="1" applyFill="1" applyProtection="1">
      <protection hidden="1"/>
    </xf>
    <xf xxid="1447" numFmtId="182" fontId="62" fillId="7" borderId="3" xfId="3" applyAlignment="1" applyBorder="1" applyFont="1" applyNumberFormat="1" applyFill="1" applyProtection="1">
      <protection hidden="1"/>
    </xf>
    <xf xxid="1448" numFmtId="181" fontId="69" fillId="7" borderId="64" xfId="0" applyAlignment="1" applyBorder="1" applyFont="1" applyNumberFormat="1" applyFill="1" applyProtection="1">
      <alignment vertical="center" shrinkToFit="1"/>
      <protection hidden="1"/>
    </xf>
    <xf xxid="1449" numFmtId="181" fontId="69" fillId="7" borderId="61" xfId="0" applyAlignment="1" applyBorder="1" applyFont="1" applyNumberFormat="1" applyFill="1" applyProtection="1">
      <alignment vertical="center" shrinkToFit="1"/>
      <protection hidden="1"/>
    </xf>
    <xf xxid="1450" numFmtId="0" fontId="17" fillId="0" borderId="7" xfId="0" applyAlignment="1" applyBorder="1" applyFont="1" applyNumberFormat="1" applyFill="1" applyProtection="1"/>
    <xf xxid="1451" numFmtId="181" fontId="41" fillId="0" borderId="7" xfId="0" applyAlignment="1" applyBorder="1" applyFont="1" applyNumberFormat="1" applyFill="1" applyProtection="1">
      <alignment horizontal="left"/>
    </xf>
    <xf xxid="1452" numFmtId="181" fontId="17" fillId="0" borderId="7" xfId="0" applyAlignment="1" applyBorder="1" applyFont="1" applyNumberFormat="1" applyFill="1" applyProtection="1">
      <alignment horizontal="center"/>
    </xf>
    <xf xxid="1453" numFmtId="0" fontId="3" fillId="0" borderId="8" xfId="0" applyAlignment="1" applyBorder="1" applyFont="1" applyNumberFormat="1" applyFill="1" applyProtection="1"/>
    <xf xxid="1454" numFmtId="0" fontId="36" fillId="0" borderId="9" xfId="0" applyAlignment="1" applyBorder="1" applyFont="1" applyNumberFormat="1" applyFill="1" applyProtection="1">
      <alignment vertical="center" wrapText="1"/>
    </xf>
    <xf xxid="1455" numFmtId="0" fontId="17" fillId="0" borderId="23" xfId="0" applyAlignment="1" applyBorder="1" applyFont="1" applyNumberFormat="1" applyFill="1" applyProtection="1">
      <alignment vertical="center" wrapText="1"/>
    </xf>
    <xf xxid="1456" numFmtId="0" fontId="20" fillId="0" borderId="23" xfId="0" applyAlignment="1" applyBorder="1" applyFont="1" applyNumberFormat="1" applyFill="1" applyProtection="1">
      <alignment vertical="top"/>
    </xf>
    <xf xxid="1457" numFmtId="0" fontId="20" fillId="0" borderId="9" xfId="0" applyAlignment="1" applyBorder="1" applyFont="1" applyNumberFormat="1" applyFill="1" applyProtection="1">
      <alignment vertical="top"/>
    </xf>
    <xf xxid="1458" numFmtId="0" fontId="20" fillId="0" borderId="22" xfId="0" applyAlignment="1" applyBorder="1" applyFont="1" applyNumberFormat="1" applyFill="1" applyProtection="1">
      <alignment vertical="top"/>
    </xf>
    <xf xxid="1459" numFmtId="0" fontId="20" fillId="0" borderId="8" xfId="0" applyAlignment="1" applyBorder="1" applyFont="1" applyNumberFormat="1" applyFill="1" applyProtection="1">
      <alignment vertical="center"/>
    </xf>
    <xf xxid="1460" numFmtId="0" fontId="20" fillId="0" borderId="20" xfId="0" applyAlignment="1" applyBorder="1" applyFont="1" applyNumberFormat="1" applyFill="1" applyProtection="1">
      <alignment vertical="center"/>
    </xf>
    <xf xxid="1461" numFmtId="0" fontId="20" fillId="0" borderId="23" xfId="0" applyAlignment="1" applyBorder="1" applyFont="1" applyNumberFormat="1" applyFill="1" applyProtection="1">
      <alignment vertical="center"/>
    </xf>
    <xf xxid="1462" numFmtId="0" fontId="20" fillId="0" borderId="9" xfId="0" applyAlignment="1" applyBorder="1" applyFont="1" applyNumberFormat="1" applyFill="1" applyProtection="1">
      <alignment vertical="center"/>
    </xf>
    <xf xxid="1463" numFmtId="0" fontId="20" fillId="0" borderId="22" xfId="0" applyAlignment="1" applyBorder="1" applyFont="1" applyNumberFormat="1" applyFill="1" applyProtection="1">
      <alignment vertical="center"/>
    </xf>
    <xf xxid="1464" numFmtId="0" fontId="20" fillId="0" borderId="20" xfId="0" applyAlignment="1" applyBorder="1" applyFont="1" applyNumberFormat="1" applyFill="1" applyProtection="1">
      <alignment vertical="top"/>
    </xf>
    <xf xxid="1465" numFmtId="0" fontId="20" fillId="0" borderId="9" xfId="0" applyAlignment="1" applyBorder="1" applyFont="1" applyNumberFormat="1" applyFill="1" applyProtection="1">
      <alignment horizontal="center" vertical="top"/>
    </xf>
    <xf xxid="1466" numFmtId="169" fontId="17" fillId="0" borderId="8" xfId="0" applyAlignment="1" applyBorder="1" applyFont="1" applyNumberFormat="1" applyFill="1" applyProtection="1">
      <alignment horizontal="right" vertical="center"/>
    </xf>
    <xf xxid="1467" numFmtId="169" fontId="17" fillId="0" borderId="20" xfId="0" applyAlignment="1" applyBorder="1" applyFont="1" applyNumberFormat="1" applyFill="1" applyProtection="1">
      <alignment horizontal="right" vertical="center"/>
    </xf>
    <xf xxid="1468" numFmtId="169" fontId="3" fillId="0" borderId="23" xfId="0" applyAlignment="1" applyBorder="1" applyFont="1" applyNumberFormat="1" applyFill="1" applyProtection="1">
      <alignment vertical="center"/>
    </xf>
    <xf xxid="1469" numFmtId="169" fontId="3" fillId="0" borderId="9" xfId="0" applyAlignment="1" applyBorder="1" applyFont="1" applyNumberFormat="1" applyFill="1" applyProtection="1">
      <alignment horizontal="left" vertical="center"/>
    </xf>
    <xf xxid="1470" numFmtId="169" fontId="3" fillId="0" borderId="22" xfId="0" applyAlignment="1" applyBorder="1" applyFont="1" applyNumberFormat="1" applyFill="1" applyProtection="1">
      <alignment horizontal="left" vertical="center"/>
    </xf>
    <xf xxid="1471" numFmtId="181" fontId="62" fillId="6" borderId="98" xfId="0" applyAlignment="1" applyBorder="1" applyFont="1" applyNumberFormat="1" applyFill="1" applyProtection="1">
      <protection hidden="1"/>
    </xf>
    <xf xxid="1472" numFmtId="175" fontId="62" fillId="6" borderId="97" xfId="1" applyAlignment="1" applyBorder="1" applyFont="1" applyNumberFormat="1" applyFill="1" applyProtection="1">
      <protection hidden="1"/>
    </xf>
    <xf xxid="1473" numFmtId="175" fontId="62" fillId="6" borderId="1" xfId="1" applyAlignment="1" applyBorder="1" applyFont="1" applyNumberFormat="1" applyFill="1" applyProtection="1">
      <protection hidden="1"/>
    </xf>
    <xf xxid="1474" numFmtId="184" fontId="62" fillId="7" borderId="97" xfId="3" applyAlignment="1" applyBorder="1" applyFont="1" applyNumberFormat="1" applyFill="1" applyProtection="1">
      <protection hidden="1"/>
    </xf>
    <xf xxid="1475" numFmtId="184" fontId="62" fillId="6" borderId="6" xfId="0" applyAlignment="1" applyBorder="1" applyFont="1" applyNumberFormat="1" applyFill="1" applyProtection="1">
      <protection hidden="1"/>
    </xf>
    <xf xxid="1476" numFmtId="184" fontId="62" fillId="6" borderId="76" xfId="0" applyAlignment="1" applyBorder="1" applyFont="1" applyNumberFormat="1" applyFill="1" applyProtection="1">
      <protection hidden="1"/>
    </xf>
    <xf xxid="1477" numFmtId="181" fontId="69" fillId="7" borderId="64" xfId="0" applyAlignment="1" applyBorder="1" applyFont="1" applyNumberFormat="1" applyFill="1" applyProtection="1">
      <alignment vertical="center" wrapText="1" shrinkToFit="1"/>
      <protection hidden="1"/>
    </xf>
    <xf xxid="1478" numFmtId="181" fontId="69" fillId="7" borderId="61" xfId="0" applyAlignment="1" applyBorder="1" applyFont="1" applyNumberFormat="1" applyFill="1" applyProtection="1">
      <alignment vertical="center" wrapText="1" shrinkToFit="1"/>
      <protection hidden="1"/>
    </xf>
    <xf xxid="1479" numFmtId="181" fontId="62" fillId="6" borderId="61" xfId="0" applyAlignment="1" applyBorder="1" applyFont="1" applyNumberFormat="1" applyFill="1" applyProtection="1">
      <protection hidden="1"/>
    </xf>
    <xf xxid="1480" numFmtId="181" fontId="62" fillId="6" borderId="65" xfId="0" applyAlignment="1" applyBorder="1" applyFont="1" applyNumberFormat="1" applyFill="1" applyProtection="1">
      <protection hidden="1"/>
    </xf>
    <xf xxid="1481" numFmtId="0" fontId="84" fillId="18" borderId="64" xfId="0" applyAlignment="1" applyBorder="1" applyFont="1" applyNumberFormat="1" applyFill="1" applyProtection="1">
      <alignment horizontal="center" vertical="center"/>
      <protection hidden="1"/>
    </xf>
    <xf xxid="1482" numFmtId="189" fontId="75" fillId="12" borderId="0" xfId="4" applyAlignment="1" applyBorder="1" applyFont="1" applyNumberFormat="1" applyFill="1" applyProtection="1"/>
    <xf xxid="1483" numFmtId="189" fontId="2" fillId="13" borderId="0" xfId="4" applyAlignment="1" applyBorder="1" applyFont="1" applyNumberFormat="1" applyFill="1" applyProtection="1"/>
    <xf xxid="1484" numFmtId="189" fontId="2" fillId="5" borderId="7" xfId="4" applyAlignment="1" applyBorder="1" applyFont="1" applyNumberFormat="1" applyFill="1" applyProtection="1">
      <protection locked="0"/>
    </xf>
    <xf xxid="1485" numFmtId="189" fontId="2" fillId="5" borderId="55" xfId="4" applyAlignment="1" applyBorder="1" applyFont="1" applyNumberFormat="1" applyFill="1" applyProtection="1">
      <protection locked="0"/>
    </xf>
    <xf xxid="1486" numFmtId="189" fontId="5" fillId="13" borderId="0" xfId="4" applyAlignment="1" applyBorder="1" applyFont="1" applyNumberFormat="1" applyFill="1" applyProtection="1"/>
    <xf xxid="1487" numFmtId="189" fontId="3" fillId="20" borderId="0" xfId="4" applyAlignment="1" applyBorder="1" applyFont="1" applyNumberFormat="1" applyFill="1" applyProtection="1"/>
    <xf xxid="1488" numFmtId="189" fontId="2" fillId="0" borderId="0" xfId="4" applyAlignment="1" applyBorder="1" applyFont="1" applyNumberFormat="1" applyFill="1" applyProtection="1">
      <protection locked="0"/>
    </xf>
    <xf xxid="1489" numFmtId="0" fontId="83" fillId="18" borderId="7" xfId="0" applyAlignment="1" applyBorder="1" applyFont="1" applyNumberFormat="1" applyFill="1" applyProtection="1">
      <alignment horizontal="center" vertical="center"/>
      <protection hidden="1"/>
    </xf>
    <xf xxid="1490" numFmtId="0" fontId="83" fillId="18" borderId="24" xfId="0" applyAlignment="1" applyBorder="1" applyFont="1" applyNumberFormat="1" applyFill="1" applyProtection="1">
      <alignment horizontal="center" vertical="center"/>
      <protection hidden="1"/>
    </xf>
    <xf xxid="1491" numFmtId="0" fontId="84" fillId="18" borderId="91" xfId="0" applyAlignment="1" applyBorder="1" applyFont="1" applyNumberFormat="1" applyFill="1" applyProtection="1">
      <alignment horizontal="center" vertical="center"/>
      <protection hidden="1"/>
    </xf>
    <xf xxid="1492" numFmtId="0" fontId="62" fillId="6" borderId="102" xfId="0" applyAlignment="1" applyBorder="1" applyFont="1" applyNumberFormat="1" applyFill="1" applyProtection="1">
      <alignment horizontal="center" vertical="center"/>
      <protection hidden="1"/>
    </xf>
    <xf xxid="1493" numFmtId="0" fontId="62" fillId="6" borderId="103" xfId="0" applyAlignment="1" applyBorder="1" applyFont="1" applyNumberFormat="1" applyFill="1" applyProtection="1">
      <alignment horizontal="left" vertical="center" wrapText="1"/>
      <protection hidden="1"/>
    </xf>
    <xf xxid="1494" numFmtId="0" fontId="62" fillId="6" borderId="103" xfId="0" applyAlignment="1" applyBorder="1" applyFont="1" applyNumberFormat="1" applyFill="1" applyProtection="1">
      <alignment horizontal="center" vertical="center"/>
      <protection hidden="1" locked="0"/>
    </xf>
    <xf xxid="1495" numFmtId="169" fontId="62" fillId="6" borderId="103" xfId="1" applyAlignment="1" applyBorder="1" applyFont="1" applyNumberFormat="1" applyFill="1" applyProtection="1">
      <alignment horizontal="center" vertical="center"/>
      <protection hidden="1"/>
    </xf>
    <xf xxid="1496" numFmtId="169" fontId="62" fillId="6" borderId="102" xfId="1" applyAlignment="1" applyBorder="1" applyFont="1" applyNumberFormat="1" applyFill="1" applyProtection="1">
      <alignment horizontal="center" vertical="center"/>
      <protection hidden="1"/>
    </xf>
    <xf xxid="1497" numFmtId="0" fontId="62" fillId="6" borderId="99" xfId="0" applyAlignment="1" applyBorder="1" applyFont="1" applyNumberFormat="1" applyFill="1" applyProtection="1">
      <alignment horizontal="center" vertical="center"/>
      <protection hidden="1"/>
    </xf>
    <xf xxid="1498" numFmtId="0" fontId="62" fillId="6" borderId="104" xfId="0" applyAlignment="1" applyBorder="1" applyFont="1" applyNumberFormat="1" applyFill="1" applyProtection="1">
      <alignment horizontal="left" vertical="center" wrapText="1"/>
      <protection hidden="1"/>
    </xf>
    <xf xxid="1499" numFmtId="0" fontId="62" fillId="6" borderId="104" xfId="0" applyAlignment="1" applyBorder="1" applyFont="1" applyNumberFormat="1" applyFill="1" applyProtection="1">
      <alignment horizontal="center" vertical="center"/>
      <protection hidden="1" locked="0"/>
    </xf>
    <xf xxid="1500" numFmtId="169" fontId="62" fillId="6" borderId="104" xfId="1" applyAlignment="1" applyBorder="1" applyFont="1" applyNumberFormat="1" applyFill="1" applyProtection="1">
      <alignment horizontal="right" vertical="center"/>
      <protection hidden="1"/>
    </xf>
    <xf xxid="1501" numFmtId="169" fontId="62" fillId="6" borderId="99" xfId="1" applyAlignment="1" applyBorder="1" applyFont="1" applyNumberFormat="1" applyFill="1" applyProtection="1">
      <alignment horizontal="right" vertical="center"/>
      <protection hidden="1"/>
    </xf>
    <xf xxid="1502" numFmtId="0" fontId="62" fillId="6" borderId="100" xfId="0" applyAlignment="1" applyBorder="1" applyFont="1" applyNumberFormat="1" applyFill="1" applyProtection="1">
      <alignment horizontal="center" vertical="center"/>
      <protection hidden="1"/>
    </xf>
    <xf xxid="1503" numFmtId="0" fontId="62" fillId="6" borderId="105" xfId="0" applyAlignment="1" applyBorder="1" applyFont="1" applyNumberFormat="1" applyFill="1" applyProtection="1">
      <alignment horizontal="left" vertical="center" wrapText="1"/>
      <protection hidden="1"/>
    </xf>
    <xf xxid="1504" numFmtId="0" fontId="62" fillId="6" borderId="105" xfId="0" applyAlignment="1" applyBorder="1" applyFont="1" applyNumberFormat="1" applyFill="1" applyProtection="1">
      <alignment horizontal="center" vertical="center"/>
      <protection hidden="1" locked="0"/>
    </xf>
    <xf xxid="1505" numFmtId="169" fontId="62" fillId="6" borderId="105" xfId="1" applyAlignment="1" applyBorder="1" applyFont="1" applyNumberFormat="1" applyFill="1" applyProtection="1">
      <alignment horizontal="right" vertical="center"/>
      <protection hidden="1"/>
    </xf>
    <xf xxid="1506" numFmtId="169" fontId="62" fillId="6" borderId="100" xfId="1" applyAlignment="1" applyBorder="1" applyFont="1" applyNumberFormat="1" applyFill="1" applyProtection="1">
      <alignment horizontal="right" vertical="center"/>
      <protection hidden="1"/>
    </xf>
    <xf xxid="1507" numFmtId="0" fontId="5" fillId="0" borderId="0" xfId="0" applyAlignment="1" applyBorder="1" applyFont="1" applyNumberFormat="1" applyFill="1" applyProtection="1">
      <alignment horizontal="center" vertical="center" textRotation="90"/>
    </xf>
    <xf xxid="1508" numFmtId="0" fontId="73" fillId="12" borderId="0" xfId="4" applyAlignment="1" applyBorder="1" applyFont="1" applyNumberFormat="1" applyFill="1" applyProtection="1">
      <alignment vertical="center"/>
      <protection locked="0"/>
    </xf>
    <xf xxid="1509" numFmtId="0" fontId="74" fillId="12" borderId="0" xfId="4" applyAlignment="1" applyBorder="1" applyFont="1" applyNumberFormat="1" applyFill="1" applyProtection="1">
      <alignment horizontal="center"/>
      <protection locked="0"/>
    </xf>
    <xf xxid="1510" numFmtId="0" fontId="2" fillId="13" borderId="42" xfId="4" applyAlignment="1" applyBorder="1" applyFont="1" applyNumberFormat="1" applyFill="1" applyProtection="1">
      <alignment horizontal="center"/>
      <protection locked="0"/>
    </xf>
    <xf xxid="1511" numFmtId="0" fontId="5" fillId="13" borderId="39" xfId="4" applyAlignment="1" applyBorder="1" applyFont="1" applyNumberFormat="1" applyFill="1" applyProtection="1">
      <alignment horizontal="center"/>
      <protection locked="0"/>
    </xf>
    <xf xxid="1512" numFmtId="0" fontId="2" fillId="13" borderId="43" xfId="4" applyAlignment="1" applyBorder="1" applyFont="1" applyNumberFormat="1" applyFill="1" applyProtection="1">
      <alignment horizontal="center"/>
      <protection locked="0"/>
    </xf>
    <xf xxid="1513" numFmtId="0" fontId="34" fillId="14" borderId="0" xfId="4" applyAlignment="1" applyBorder="1" applyFont="1" applyNumberFormat="1" applyFill="1" applyProtection="1">
      <protection locked="0"/>
    </xf>
    <xf xxid="1514" numFmtId="0" fontId="2" fillId="0" borderId="0" xfId="4" applyAlignment="1" applyBorder="1" applyFont="1" applyNumberFormat="1" applyFill="1" applyProtection="1">
      <alignment horizontal="left" vertical="top"/>
      <protection hidden="1"/>
    </xf>
    <xf xxid="1515" numFmtId="0" fontId="17" fillId="0" borderId="78" xfId="16" applyAlignment="1" applyBorder="1" applyFont="1" applyNumberFormat="1" applyFill="1" applyProtection="1">
      <alignment horizontal="left" vertical="top"/>
      <protection hidden="1"/>
    </xf>
    <xf xxid="1516" numFmtId="0" fontId="2" fillId="0" borderId="8" xfId="4" applyAlignment="1" applyBorder="1" applyFont="1" applyNumberFormat="1" applyFill="1" applyProtection="1">
      <alignment horizontal="left" vertical="top"/>
      <protection hidden="1"/>
    </xf>
    <xf xxid="1517" numFmtId="0" fontId="2" fillId="0" borderId="0" xfId="4" applyAlignment="1" applyBorder="1" applyFont="1" applyNumberFormat="1" applyFill="1" applyProtection="1">
      <alignment vertical="top"/>
      <protection hidden="1"/>
    </xf>
    <xf xxid="1518" numFmtId="0" fontId="2" fillId="0" borderId="1" xfId="4" applyAlignment="1" applyBorder="1" applyFont="1" applyNumberFormat="1" applyFill="1" applyProtection="1">
      <alignment vertical="top"/>
      <protection hidden="1"/>
    </xf>
    <xf xxid="1519" numFmtId="49" fontId="2" fillId="0" borderId="0" xfId="4" applyAlignment="1" applyBorder="1" applyFont="1" applyNumberFormat="1" applyFill="1" applyProtection="1">
      <protection locked="0"/>
    </xf>
    <xf xxid="1520" numFmtId="49" fontId="17" fillId="0" borderId="78" xfId="16" applyAlignment="1" applyBorder="1" applyFont="1" applyNumberFormat="1" applyFill="1" applyProtection="1">
      <alignment horizontal="left" vertical="top" wrapText="1"/>
      <protection hidden="1"/>
    </xf>
    <xf xxid="1521" numFmtId="49" fontId="2" fillId="0" borderId="0" xfId="4" applyAlignment="1" applyBorder="1" applyFont="1" applyNumberFormat="1" applyFill="1" applyProtection="1">
      <alignment horizontal="left" vertical="top"/>
      <protection hidden="1"/>
    </xf>
    <xf xxid="1522" numFmtId="49" fontId="2" fillId="0" borderId="8" xfId="4" applyAlignment="1" applyBorder="1" applyFont="1" applyNumberFormat="1" applyFill="1" applyProtection="1">
      <alignment horizontal="left" vertical="top"/>
      <protection hidden="1"/>
    </xf>
    <xf xxid="1523" numFmtId="49" fontId="2" fillId="0" borderId="0" xfId="4" applyAlignment="1" applyBorder="1" applyFont="1" applyNumberFormat="1" applyFill="1" applyProtection="1">
      <alignment vertical="top"/>
      <protection hidden="1"/>
    </xf>
    <xf xxid="1524" numFmtId="49" fontId="80" fillId="0" borderId="0" xfId="0" applyAlignment="1" applyBorder="1" applyFont="1" applyNumberFormat="1" applyFill="1" applyProtection="1">
      <alignment vertical="top"/>
      <protection hidden="1"/>
    </xf>
    <xf xxid="1525" numFmtId="49" fontId="80" fillId="0" borderId="1" xfId="0" applyAlignment="1" applyBorder="1" applyFont="1" applyNumberFormat="1" applyFill="1" applyProtection="1">
      <alignment vertical="top"/>
      <protection hidden="1"/>
    </xf>
    <xf xxid="1526" numFmtId="49" fontId="80" fillId="0" borderId="0" xfId="0" applyAlignment="1" applyBorder="1" applyFont="1" applyNumberFormat="1" applyFill="1" applyProtection="1">
      <alignment vertical="top" wrapText="1"/>
    </xf>
    <xf xxid="1527" numFmtId="49" fontId="2" fillId="0" borderId="0" xfId="4" applyAlignment="1" applyBorder="1" applyFont="1" applyNumberFormat="1" applyFill="1" applyProtection="1">
      <alignment vertical="top" wrapText="1"/>
      <protection hidden="1"/>
    </xf>
    <xf xxid="1528" numFmtId="49" fontId="80" fillId="0" borderId="1" xfId="0" applyAlignment="1" applyBorder="1" applyFont="1" applyNumberFormat="1" applyFill="1" applyProtection="1">
      <alignment vertical="top" wrapText="1"/>
      <protection hidden="1"/>
    </xf>
    <xf xxid="1529" numFmtId="49" fontId="5" fillId="0" borderId="0" xfId="4" applyAlignment="1" applyBorder="1" applyFont="1" applyNumberFormat="1" applyFill="1" applyProtection="1">
      <alignment vertical="center"/>
      <protection locked="0"/>
    </xf>
    <xf xxid="1530" numFmtId="49" fontId="73" fillId="12" borderId="0" xfId="4" applyAlignment="1" applyBorder="1" applyFont="1" applyNumberFormat="1" applyFill="1" applyProtection="1"/>
    <xf xxid="1531" numFmtId="49" fontId="2" fillId="13" borderId="0" xfId="4" applyAlignment="1" applyBorder="1" applyFont="1" applyNumberFormat="1" applyFill="1" applyProtection="1">
      <alignment horizontal="left"/>
    </xf>
    <xf xxid="1532" numFmtId="49" fontId="5" fillId="13" borderId="0" xfId="4" applyAlignment="1" applyBorder="1" applyFont="1" applyNumberFormat="1" applyFill="1" applyProtection="1">
      <alignment horizontal="left"/>
    </xf>
    <xf xxid="1533" numFmtId="49" fontId="2" fillId="5" borderId="7" xfId="4" applyAlignment="1" applyBorder="1" applyFont="1" applyNumberFormat="1" applyFill="1" applyProtection="1">
      <alignment horizontal="center" vertical="top" wrapText="1"/>
      <protection hidden="1"/>
    </xf>
    <xf xxid="1534" numFmtId="49" fontId="2" fillId="5" borderId="55" xfId="4" applyAlignment="1" applyBorder="1" applyFont="1" applyNumberFormat="1" applyFill="1" applyProtection="1">
      <alignment horizontal="center" vertical="top" wrapText="1"/>
      <protection hidden="1"/>
    </xf>
    <xf xxid="1535" numFmtId="49" fontId="2" fillId="13" borderId="0" xfId="4" applyAlignment="1" applyBorder="1" applyFont="1" applyNumberFormat="1" applyFill="1" applyProtection="1"/>
    <xf xxid="1536" numFmtId="49" fontId="5" fillId="13" borderId="0" xfId="4" applyAlignment="1" applyBorder="1" applyFont="1" applyNumberFormat="1" applyFill="1" applyProtection="1"/>
    <xf xxid="1537" numFmtId="49" fontId="2" fillId="5" borderId="7" xfId="4" applyAlignment="1" applyBorder="1" applyFont="1" applyNumberFormat="1" applyFill="1" applyProtection="1">
      <alignment horizontal="center" vertical="top" wrapText="1"/>
      <protection locked="0"/>
    </xf>
    <xf xxid="1538" numFmtId="49" fontId="2" fillId="5" borderId="55" xfId="4" applyAlignment="1" applyBorder="1" applyFont="1" applyNumberFormat="1" applyFill="1" applyProtection="1">
      <alignment horizontal="center" vertical="top" wrapText="1"/>
      <protection locked="0"/>
    </xf>
    <xf xxid="1539" numFmtId="49" fontId="17" fillId="20" borderId="0" xfId="4" applyAlignment="1" applyBorder="1" applyFont="1" applyNumberFormat="1" applyFill="1" applyProtection="1"/>
    <xf xxid="1540" numFmtId="0" fontId="2" fillId="25" borderId="7" xfId="4" applyAlignment="1" applyBorder="1" applyFont="1" applyNumberFormat="1" applyFill="1" applyProtection="1">
      <alignment horizontal="left"/>
      <protection locked="0"/>
    </xf>
    <xf xxid="1541" numFmtId="0" fontId="2" fillId="25" borderId="7" xfId="4" applyAlignment="1" applyBorder="1" applyFont="1" applyNumberFormat="1" applyFill="1" applyProtection="1">
      <alignment horizontal="center"/>
      <protection locked="0"/>
    </xf>
    <xf xxid="1542" numFmtId="3" fontId="2" fillId="25" borderId="7" xfId="4" applyAlignment="1" applyBorder="1" applyFont="1" applyNumberFormat="1" applyFill="1" applyProtection="1">
      <alignment horizontal="right"/>
      <protection locked="0"/>
    </xf>
    <xf xxid="1543" numFmtId="173" fontId="2" fillId="25" borderId="7" xfId="4" applyAlignment="1" applyBorder="1" applyFont="1" applyNumberFormat="1" applyFill="1" applyProtection="1">
      <alignment horizontal="center"/>
      <protection locked="0"/>
    </xf>
    <xf xxid="1544" numFmtId="173" fontId="2" fillId="25" borderId="75" xfId="4" applyAlignment="1" applyBorder="1" applyFont="1" applyNumberFormat="1" applyFill="1" applyProtection="1">
      <alignment horizontal="center"/>
      <protection locked="0"/>
    </xf>
    <xf xxid="1545" numFmtId="0" fontId="2" fillId="13" borderId="55" xfId="4" applyAlignment="1" applyBorder="1" applyFont="1" applyNumberFormat="1" applyFill="1" applyProtection="1">
      <alignment horizontal="left"/>
      <protection locked="0"/>
    </xf>
    <xf xxid="1546" numFmtId="0" fontId="2" fillId="13" borderId="55" xfId="4" applyAlignment="1" applyBorder="1" applyFont="1" applyNumberFormat="1" applyFill="1" applyProtection="1">
      <alignment horizontal="right"/>
      <protection locked="0"/>
    </xf>
    <xf xxid="1547" numFmtId="189" fontId="2" fillId="13" borderId="55" xfId="4" applyAlignment="1" applyBorder="1" applyFont="1" applyNumberFormat="1" applyFill="1" applyProtection="1">
      <alignment horizontal="center"/>
      <protection locked="0"/>
    </xf>
    <xf xxid="1548" numFmtId="189" fontId="2" fillId="13" borderId="56" xfId="4" applyAlignment="1" applyBorder="1" applyFont="1" applyNumberFormat="1" applyFill="1" applyProtection="1">
      <alignment horizontal="center"/>
      <protection locked="0"/>
    </xf>
    <xf xxid="1549" numFmtId="0" fontId="5" fillId="13" borderId="106" xfId="4" applyAlignment="1" applyBorder="1" applyFont="1" applyNumberFormat="1" applyFill="1" applyProtection="1">
      <alignment horizontal="center" vertical="center"/>
      <protection locked="0"/>
    </xf>
    <xf xxid="1550" numFmtId="0" fontId="5" fillId="13" borderId="107" xfId="4" applyAlignment="1" applyBorder="1" applyFont="1" applyNumberFormat="1" applyFill="1" applyProtection="1">
      <alignment horizontal="center" vertical="center"/>
      <protection locked="0"/>
    </xf>
    <xf xxid="1551" numFmtId="0" fontId="5" fillId="13" borderId="108" xfId="4" applyAlignment="1" applyBorder="1" applyFont="1" applyNumberFormat="1" applyFill="1" applyProtection="1">
      <alignment horizontal="center" vertical="center"/>
      <protection locked="0"/>
    </xf>
    <xf xxid="1552" numFmtId="0" fontId="5" fillId="13" borderId="109" xfId="4" applyAlignment="1" applyBorder="1" applyFont="1" applyNumberFormat="1" applyFill="1" applyProtection="1">
      <alignment horizontal="center" vertical="center"/>
      <protection locked="0"/>
    </xf>
    <xf xxid="1553" numFmtId="0" fontId="5" fillId="13" borderId="110" xfId="4" applyAlignment="1" applyBorder="1" applyFont="1" applyNumberFormat="1" applyFill="1" applyProtection="1">
      <alignment horizontal="center" vertical="center"/>
      <protection locked="0"/>
    </xf>
    <xf xxid="1554" numFmtId="0" fontId="5" fillId="13" borderId="111" xfId="4" applyAlignment="1" applyBorder="1" applyFont="1" applyNumberFormat="1" applyFill="1" applyProtection="1">
      <alignment horizontal="center" vertical="center"/>
      <protection locked="0"/>
    </xf>
    <xf xxid="1555" numFmtId="0" fontId="5" fillId="13" borderId="78" xfId="4" applyAlignment="1" applyBorder="1" applyFont="1" applyNumberFormat="1" applyFill="1" applyProtection="1">
      <alignment horizontal="center" vertical="center"/>
      <protection locked="0"/>
    </xf>
    <xf xxid="1556" numFmtId="0" fontId="5" fillId="13" borderId="112" xfId="4" applyAlignment="1" applyBorder="1" applyFont="1" applyNumberFormat="1" applyFill="1" applyProtection="1">
      <alignment horizontal="center" vertical="center"/>
      <protection locked="0"/>
    </xf>
    <xf xxid="1557" numFmtId="0" fontId="2" fillId="13" borderId="52" xfId="4" applyAlignment="1" applyBorder="1" applyFont="1" applyNumberFormat="1" applyFill="1" applyProtection="1">
      <alignment horizontal="left"/>
      <protection locked="0"/>
    </xf>
    <xf xxid="1558" numFmtId="0" fontId="2" fillId="13" borderId="52" xfId="4" applyAlignment="1" applyBorder="1" applyFont="1" applyNumberFormat="1" applyFill="1" applyProtection="1">
      <alignment horizontal="right"/>
      <protection locked="0"/>
    </xf>
    <xf xxid="1559" numFmtId="189" fontId="2" fillId="13" borderId="52" xfId="4" applyAlignment="1" applyBorder="1" applyFont="1" applyNumberFormat="1" applyFill="1" applyProtection="1">
      <alignment horizontal="center"/>
      <protection locked="0"/>
    </xf>
    <xf xxid="1560" numFmtId="189" fontId="2" fillId="13" borderId="113" xfId="4" applyAlignment="1" applyBorder="1" applyFont="1" applyNumberFormat="1" applyFill="1" applyProtection="1">
      <alignment horizontal="center"/>
      <protection locked="0"/>
    </xf>
    <xf xxid="1561" numFmtId="0" fontId="5" fillId="14" borderId="0" xfId="4" applyAlignment="1" applyBorder="1" applyFont="1" applyNumberFormat="1" applyFill="1" applyProtection="1">
      <alignment horizontal="left" wrapText="1"/>
      <protection locked="0"/>
    </xf>
    <xf xxid="1562" numFmtId="170" fontId="2" fillId="6" borderId="73" xfId="0" applyAlignment="1" applyBorder="1" applyFont="1" applyNumberFormat="1" applyFill="1" applyProtection="1">
      <alignment horizontal="right"/>
      <protection hidden="1"/>
    </xf>
    <xf xxid="1563" numFmtId="170" fontId="2" fillId="6" borderId="41" xfId="0" applyAlignment="1" applyBorder="1" applyFont="1" applyNumberFormat="1" applyFill="1" applyProtection="1">
      <alignment horizontal="right"/>
      <protection hidden="1"/>
    </xf>
    <xf xxid="1564" numFmtId="170" fontId="2" fillId="6" borderId="38" xfId="0" applyAlignment="1" applyBorder="1" applyFont="1" applyNumberFormat="1" applyFill="1" applyProtection="1">
      <alignment horizontal="right"/>
      <protection hidden="1"/>
    </xf>
    <xf xxid="1565" numFmtId="170" fontId="2" fillId="5" borderId="73" xfId="0" applyAlignment="1" applyBorder="1" applyFont="1" applyNumberFormat="1" applyFill="1" applyProtection="1">
      <alignment horizontal="right"/>
      <protection locked="0"/>
    </xf>
    <xf xxid="1566" numFmtId="170" fontId="2" fillId="5" borderId="41" xfId="0" applyAlignment="1" applyBorder="1" applyFont="1" applyNumberFormat="1" applyFill="1" applyProtection="1">
      <alignment horizontal="right"/>
      <protection locked="0"/>
    </xf>
    <xf xxid="1567" numFmtId="170" fontId="2" fillId="5" borderId="38" xfId="0" applyAlignment="1" applyBorder="1" applyFont="1" applyNumberFormat="1" applyFill="1" applyProtection="1">
      <alignment horizontal="right"/>
      <protection locked="0"/>
    </xf>
    <xf xxid="1568" numFmtId="0" fontId="47" fillId="14" borderId="78" xfId="4" applyAlignment="1" applyBorder="1" applyFont="1" applyNumberFormat="1" applyFill="1" applyProtection="1">
      <alignment horizontal="center" vertical="top" wrapText="1"/>
      <protection locked="0"/>
    </xf>
    <xf xxid="1569" numFmtId="0" fontId="47" fillId="10" borderId="78" xfId="4" applyAlignment="1" applyBorder="1" applyFont="1" applyNumberFormat="1" applyFill="1" applyProtection="1">
      <alignment horizontal="center" vertical="top" wrapText="1"/>
      <protection locked="0"/>
    </xf>
    <xf xxid="1570" numFmtId="0" fontId="2" fillId="5" borderId="73" xfId="4" applyAlignment="1" applyBorder="1" applyFont="1" applyNumberFormat="1" applyFill="1" applyProtection="1">
      <alignment horizontal="left" vertical="top" wrapText="1"/>
      <protection locked="0"/>
    </xf>
    <xf xxid="1571" numFmtId="0" fontId="2" fillId="5" borderId="41" xfId="4" applyAlignment="1" applyBorder="1" applyFont="1" applyNumberFormat="1" applyFill="1" applyProtection="1">
      <alignment horizontal="left" vertical="top" wrapText="1"/>
      <protection locked="0"/>
    </xf>
    <xf xxid="1572" numFmtId="0" fontId="2" fillId="5" borderId="38" xfId="4" applyAlignment="1" applyBorder="1" applyFont="1" applyNumberFormat="1" applyFill="1" applyProtection="1">
      <alignment horizontal="left" vertical="top" wrapText="1"/>
      <protection locked="0"/>
    </xf>
    <xf xxid="1573" numFmtId="0" fontId="2" fillId="26" borderId="73" xfId="4" applyAlignment="1" applyBorder="1" applyFont="1" applyNumberFormat="1" applyFill="1" applyProtection="1">
      <alignment horizontal="left" vertical="top" wrapText="1"/>
      <protection locked="0"/>
    </xf>
    <xf xxid="1574" numFmtId="0" fontId="2" fillId="26" borderId="41" xfId="4" applyAlignment="1" applyBorder="1" applyFont="1" applyNumberFormat="1" applyFill="1" applyProtection="1">
      <alignment horizontal="left" vertical="top" wrapText="1"/>
      <protection locked="0"/>
    </xf>
    <xf xxid="1575" numFmtId="0" fontId="2" fillId="26" borderId="38" xfId="4" applyAlignment="1" applyBorder="1" applyFont="1" applyNumberFormat="1" applyFill="1" applyProtection="1">
      <alignment horizontal="left" vertical="top" wrapText="1"/>
      <protection locked="0"/>
    </xf>
    <xf xxid="1576" numFmtId="170" fontId="5" fillId="14" borderId="73" xfId="0" applyAlignment="1" applyBorder="1" applyFont="1" applyNumberFormat="1" applyFill="1" applyProtection="1">
      <alignment horizontal="center"/>
      <protection locked="0"/>
    </xf>
    <xf xxid="1577" numFmtId="170" fontId="5" fillId="10" borderId="41" xfId="0" applyAlignment="1" applyBorder="1" applyFont="1" applyNumberFormat="1" applyFill="1" applyProtection="1">
      <alignment horizontal="center"/>
      <protection locked="0"/>
    </xf>
    <xf xxid="1578" numFmtId="170" fontId="5" fillId="10" borderId="38" xfId="0" applyAlignment="1" applyBorder="1" applyFont="1" applyNumberFormat="1" applyFill="1" applyProtection="1">
      <alignment horizontal="center"/>
      <protection locked="0"/>
    </xf>
    <xf xxid="1579" numFmtId="178" fontId="2" fillId="6" borderId="73" xfId="0" applyAlignment="1" applyBorder="1" applyFont="1" applyNumberFormat="1" applyFill="1" applyProtection="1">
      <alignment horizontal="center"/>
      <protection hidden="1"/>
    </xf>
    <xf xxid="1580" numFmtId="178" fontId="2" fillId="6" borderId="41" xfId="0" applyAlignment="1" applyBorder="1" applyFont="1" applyNumberFormat="1" applyFill="1" applyProtection="1">
      <alignment horizontal="center"/>
      <protection hidden="1"/>
    </xf>
    <xf xxid="1581" numFmtId="178" fontId="2" fillId="6" borderId="38" xfId="0" applyAlignment="1" applyBorder="1" applyFont="1" applyNumberFormat="1" applyFill="1" applyProtection="1">
      <alignment horizontal="center"/>
      <protection hidden="1"/>
    </xf>
    <xf xxid="1582" numFmtId="169" fontId="2" fillId="5" borderId="7" xfId="1" applyAlignment="1" applyBorder="1" applyFont="1" applyNumberFormat="1" applyFill="1" applyProtection="1">
      <alignment horizontal="center"/>
      <protection hidden="1" locked="0"/>
    </xf>
    <xf xxid="1583" numFmtId="169" fontId="2" fillId="5" borderId="21" xfId="1" applyAlignment="1" applyBorder="1" applyFont="1" applyNumberFormat="1" applyFill="1" applyProtection="1">
      <alignment horizontal="center"/>
      <protection hidden="1" locked="0"/>
    </xf>
    <xf xxid="1584" numFmtId="169" fontId="2" fillId="5" borderId="30" xfId="1" applyAlignment="1" applyBorder="1" applyFont="1" applyNumberFormat="1" applyFill="1" applyProtection="1">
      <alignment horizontal="center"/>
      <protection hidden="1" locked="0"/>
    </xf>
    <xf xxid="1585" numFmtId="169" fontId="2" fillId="0" borderId="7" xfId="1" applyAlignment="1" applyBorder="1" applyFont="1" applyNumberFormat="1" applyFill="1" applyProtection="1">
      <alignment horizontal="center"/>
      <protection hidden="1"/>
    </xf>
    <xf xxid="1586" numFmtId="169" fontId="2" fillId="0" borderId="75" xfId="1" applyAlignment="1" applyBorder="1" applyFont="1" applyNumberFormat="1" applyFill="1" applyProtection="1">
      <alignment horizontal="center"/>
      <protection hidden="1"/>
    </xf>
    <xf xxid="1587" numFmtId="170" fontId="2" fillId="14" borderId="108" xfId="0" applyAlignment="1" applyBorder="1" applyFont="1" applyNumberFormat="1" applyFill="1" applyProtection="1">
      <alignment horizontal="center" vertical="center" wrapText="1"/>
      <protection locked="0"/>
    </xf>
    <xf xxid="1588" numFmtId="170" fontId="2" fillId="10" borderId="109" xfId="0" applyAlignment="1" applyBorder="1" applyFont="1" applyNumberFormat="1" applyFill="1" applyProtection="1">
      <alignment horizontal="center" vertical="center" wrapText="1"/>
      <protection locked="0"/>
    </xf>
    <xf xxid="1589" numFmtId="170" fontId="2" fillId="14" borderId="77" xfId="0" applyAlignment="1" applyBorder="1" applyFont="1" applyNumberFormat="1" applyFill="1" applyProtection="1">
      <alignment horizontal="center"/>
      <protection locked="0"/>
    </xf>
    <xf xxid="1590" numFmtId="170" fontId="2" fillId="10" borderId="0" xfId="0" applyAlignment="1" applyBorder="1" applyFont="1" applyNumberFormat="1" applyFill="1" applyProtection="1">
      <alignment horizontal="center"/>
      <protection locked="0"/>
    </xf>
    <xf xxid="1591" numFmtId="49" fontId="2" fillId="5" borderId="73" xfId="0" applyAlignment="1" applyBorder="1" applyFont="1" applyNumberFormat="1" applyFill="1" applyProtection="1">
      <alignment horizontal="center" vertical="center" wrapText="1"/>
      <protection locked="0"/>
    </xf>
    <xf xxid="1592" numFmtId="49" fontId="2" fillId="5" borderId="41" xfId="0" applyAlignment="1" applyBorder="1" applyFont="1" applyNumberFormat="1" applyFill="1" applyProtection="1">
      <alignment horizontal="center" vertical="center" wrapText="1"/>
      <protection locked="0"/>
    </xf>
    <xf xxid="1593" numFmtId="49" fontId="2" fillId="5" borderId="38" xfId="0" applyAlignment="1" applyBorder="1" applyFont="1" applyNumberFormat="1" applyFill="1" applyProtection="1">
      <alignment horizontal="center" vertical="center" wrapText="1"/>
      <protection locked="0"/>
    </xf>
    <xf xxid="1594" numFmtId="49" fontId="2" fillId="5" borderId="7" xfId="4" applyAlignment="1" applyBorder="1" applyFont="1" applyNumberFormat="1" applyFill="1" applyProtection="1">
      <alignment horizontal="center"/>
      <protection locked="0"/>
    </xf>
    <xf xxid="1595" numFmtId="0" fontId="5" fillId="14" borderId="55" xfId="4" applyAlignment="1" applyBorder="1" applyFont="1" applyNumberFormat="1" applyFill="1" applyProtection="1">
      <alignment horizontal="center"/>
      <protection locked="0"/>
    </xf>
    <xf xxid="1596" numFmtId="0" fontId="5" fillId="10" borderId="55" xfId="4" applyAlignment="1" applyBorder="1" applyFont="1" applyNumberFormat="1" applyFill="1" applyProtection="1">
      <alignment horizontal="center"/>
      <protection locked="0"/>
    </xf>
    <xf xxid="1597" numFmtId="178" fontId="2" fillId="5" borderId="41" xfId="0" applyAlignment="1" applyBorder="1" applyFont="1" applyNumberFormat="1" applyFill="1" applyProtection="1">
      <alignment horizontal="center"/>
      <protection locked="0"/>
    </xf>
    <xf xxid="1598" numFmtId="178" fontId="2" fillId="5" borderId="38" xfId="0" applyAlignment="1" applyBorder="1" applyFont="1" applyNumberFormat="1" applyFill="1" applyProtection="1">
      <alignment horizontal="center"/>
      <protection locked="0"/>
    </xf>
    <xf xxid="1599" numFmtId="170" fontId="2" fillId="6" borderId="73" xfId="0" applyAlignment="1" applyBorder="1" applyFont="1" applyNumberFormat="1" applyFill="1" applyProtection="1">
      <alignment horizontal="center"/>
      <protection hidden="1"/>
    </xf>
    <xf xxid="1600" numFmtId="170" fontId="2" fillId="6" borderId="41" xfId="0" applyAlignment="1" applyBorder="1" applyFont="1" applyNumberFormat="1" applyFill="1" applyProtection="1">
      <alignment horizontal="center"/>
      <protection hidden="1"/>
    </xf>
    <xf xxid="1601" numFmtId="170" fontId="2" fillId="6" borderId="38" xfId="0" applyAlignment="1" applyBorder="1" applyFont="1" applyNumberFormat="1" applyFill="1" applyProtection="1">
      <alignment horizontal="center"/>
      <protection hidden="1"/>
    </xf>
    <xf xxid="1602" numFmtId="0" fontId="2" fillId="5" borderId="75" xfId="4" applyAlignment="1" applyBorder="1" applyFont="1" applyNumberFormat="1" applyFill="1" applyProtection="1">
      <alignment horizontal="center"/>
      <protection locked="0"/>
    </xf>
    <xf xxid="1603" numFmtId="178" fontId="2" fillId="5" borderId="73" xfId="0" applyAlignment="1" applyBorder="1" applyFont="1" applyNumberFormat="1" applyFill="1" applyProtection="1">
      <alignment horizontal="center"/>
      <protection locked="0"/>
    </xf>
    <xf xxid="1604" numFmtId="3" fontId="2" fillId="5" borderId="24" xfId="0" applyAlignment="1" applyBorder="1" applyFont="1" applyNumberFormat="1" applyFill="1" applyProtection="1">
      <alignment horizontal="right"/>
      <protection locked="0"/>
    </xf>
    <xf xxid="1605" numFmtId="3" fontId="2" fillId="5" borderId="21" xfId="0" applyAlignment="1" applyBorder="1" applyFont="1" applyNumberFormat="1" applyFill="1" applyProtection="1">
      <alignment horizontal="right"/>
      <protection locked="0"/>
    </xf>
    <xf xxid="1606" numFmtId="3" fontId="2" fillId="5" borderId="30" xfId="0" applyAlignment="1" applyBorder="1" applyFont="1" applyNumberFormat="1" applyFill="1" applyProtection="1">
      <alignment horizontal="right"/>
      <protection locked="0"/>
    </xf>
    <xf xxid="1607" numFmtId="169" fontId="5" fillId="0" borderId="73" xfId="0" applyAlignment="1" applyBorder="1" applyFont="1" applyNumberFormat="1" applyFill="1" applyProtection="1">
      <alignment horizontal="center"/>
      <protection hidden="1"/>
    </xf>
    <xf xxid="1608" numFmtId="0" fontId="5" fillId="0" borderId="41" xfId="0" applyAlignment="1" applyBorder="1" applyFont="1" applyNumberFormat="1" applyFill="1" applyProtection="1">
      <alignment horizontal="center"/>
      <protection hidden="1"/>
    </xf>
    <xf xxid="1609" numFmtId="0" fontId="5" fillId="0" borderId="38" xfId="0" applyAlignment="1" applyBorder="1" applyFont="1" applyNumberFormat="1" applyFill="1" applyProtection="1">
      <alignment horizontal="center"/>
      <protection hidden="1"/>
    </xf>
    <xf xxid="1610" numFmtId="0" fontId="5" fillId="14" borderId="55" xfId="0" applyAlignment="1" applyBorder="1" applyFont="1" applyNumberFormat="1" applyFill="1" applyProtection="1">
      <alignment horizontal="center"/>
      <protection hidden="1"/>
    </xf>
    <xf xxid="1611" numFmtId="0" fontId="5" fillId="10" borderId="55" xfId="0" applyAlignment="1" applyBorder="1" applyFont="1" applyNumberFormat="1" applyFill="1" applyProtection="1">
      <alignment horizontal="center"/>
      <protection hidden="1"/>
    </xf>
    <xf xxid="1612" numFmtId="169" fontId="2" fillId="5" borderId="73" xfId="1" applyAlignment="1" applyBorder="1" applyFont="1" applyNumberFormat="1" applyFill="1" applyProtection="1">
      <alignment horizontal="right"/>
      <protection hidden="1" locked="0"/>
    </xf>
    <xf xxid="1613" numFmtId="169" fontId="2" fillId="5" borderId="41" xfId="1" applyAlignment="1" applyBorder="1" applyFont="1" applyNumberFormat="1" applyFill="1" applyProtection="1">
      <alignment horizontal="right"/>
      <protection hidden="1" locked="0"/>
    </xf>
    <xf xxid="1614" numFmtId="169" fontId="2" fillId="5" borderId="38" xfId="1" applyAlignment="1" applyBorder="1" applyFont="1" applyNumberFormat="1" applyFill="1" applyProtection="1">
      <alignment horizontal="right"/>
      <protection hidden="1" locked="0"/>
    </xf>
    <xf xxid="1615" numFmtId="169" fontId="2" fillId="5" borderId="73" xfId="1" applyAlignment="1" applyBorder="1" applyFont="1" applyNumberFormat="1" applyFill="1" applyProtection="1">
      <alignment horizontal="right"/>
      <protection locked="0"/>
    </xf>
    <xf xxid="1616" numFmtId="169" fontId="2" fillId="5" borderId="41" xfId="1" applyAlignment="1" applyBorder="1" applyFont="1" applyNumberFormat="1" applyFill="1" applyProtection="1">
      <alignment horizontal="right"/>
      <protection locked="0"/>
    </xf>
    <xf xxid="1617" numFmtId="169" fontId="2" fillId="5" borderId="38" xfId="1" applyAlignment="1" applyBorder="1" applyFont="1" applyNumberFormat="1" applyFill="1" applyProtection="1">
      <alignment horizontal="right"/>
      <protection locked="0"/>
    </xf>
    <xf xxid="1618" numFmtId="0" fontId="5" fillId="14" borderId="35" xfId="4" applyAlignment="1" applyBorder="1" applyFont="1" applyNumberFormat="1" applyFill="1" applyProtection="1">
      <alignment horizontal="center" vertical="center" wrapText="1"/>
      <protection locked="0"/>
    </xf>
    <xf xxid="1619" numFmtId="0" fontId="5" fillId="10" borderId="35" xfId="4" applyAlignment="1" applyBorder="1" applyFont="1" applyNumberFormat="1" applyFill="1" applyProtection="1">
      <alignment horizontal="center" vertical="center" wrapText="1"/>
      <protection locked="0"/>
    </xf>
    <xf xxid="1620" numFmtId="0" fontId="5" fillId="14" borderId="73" xfId="4" applyAlignment="1" applyBorder="1" applyFont="1" applyNumberFormat="1" applyFill="1" applyProtection="1">
      <alignment horizontal="center" vertical="center" wrapText="1"/>
      <protection locked="0"/>
    </xf>
    <xf xxid="1621" numFmtId="0" fontId="5" fillId="10" borderId="41" xfId="4" applyAlignment="1" applyBorder="1" applyFont="1" applyNumberFormat="1" applyFill="1" applyProtection="1">
      <alignment horizontal="center" vertical="center" wrapText="1"/>
      <protection locked="0"/>
    </xf>
    <xf xxid="1622" numFmtId="0" fontId="5" fillId="10" borderId="38" xfId="4" applyAlignment="1" applyBorder="1" applyFont="1" applyNumberFormat="1" applyFill="1" applyProtection="1">
      <alignment horizontal="center" vertical="center" wrapText="1"/>
      <protection locked="0"/>
    </xf>
    <xf xxid="1623" numFmtId="169" fontId="2" fillId="5" borderId="73" xfId="1" applyAlignment="1" applyBorder="1" applyFont="1" applyNumberFormat="1" applyFill="1" applyProtection="1">
      <alignment horizontal="center"/>
      <protection locked="0"/>
    </xf>
    <xf xxid="1624" numFmtId="169" fontId="2" fillId="5" borderId="41" xfId="1" applyAlignment="1" applyBorder="1" applyFont="1" applyNumberFormat="1" applyFill="1" applyProtection="1">
      <alignment horizontal="center"/>
      <protection locked="0"/>
    </xf>
    <xf xxid="1625" numFmtId="169" fontId="2" fillId="5" borderId="38" xfId="1" applyAlignment="1" applyBorder="1" applyFont="1" applyNumberFormat="1" applyFill="1" applyProtection="1">
      <alignment horizontal="center"/>
      <protection locked="0"/>
    </xf>
    <xf xxid="1626" numFmtId="169" fontId="2" fillId="0" borderId="73" xfId="1" applyAlignment="1" applyBorder="1" applyFont="1" applyNumberFormat="1" applyFill="1" applyProtection="1">
      <alignment horizontal="right"/>
      <protection hidden="1"/>
    </xf>
    <xf xxid="1627" numFmtId="169" fontId="2" fillId="0" borderId="41" xfId="1" applyAlignment="1" applyBorder="1" applyFont="1" applyNumberFormat="1" applyFill="1" applyProtection="1">
      <alignment horizontal="right"/>
      <protection hidden="1"/>
    </xf>
    <xf xxid="1628" numFmtId="169" fontId="2" fillId="0" borderId="38" xfId="1" applyAlignment="1" applyBorder="1" applyFont="1" applyNumberFormat="1" applyFill="1" applyProtection="1">
      <alignment horizontal="right"/>
      <protection hidden="1"/>
    </xf>
    <xf xxid="1629" numFmtId="0" fontId="5" fillId="14" borderId="44" xfId="4" applyAlignment="1" applyBorder="1" applyFont="1" applyNumberFormat="1" applyFill="1" applyProtection="1">
      <alignment horizontal="center" vertical="center"/>
      <protection locked="0"/>
    </xf>
    <xf xxid="1630" numFmtId="0" fontId="5" fillId="10" borderId="45" xfId="4" applyAlignment="1" applyBorder="1" applyFont="1" applyNumberFormat="1" applyFill="1" applyProtection="1">
      <alignment horizontal="center" vertical="center"/>
      <protection locked="0"/>
    </xf>
    <xf xxid="1631" numFmtId="0" fontId="5" fillId="10" borderId="114" xfId="4" applyAlignment="1" applyBorder="1" applyFont="1" applyNumberFormat="1" applyFill="1" applyProtection="1">
      <alignment horizontal="center" vertical="center"/>
      <protection locked="0"/>
    </xf>
    <xf xxid="1632" numFmtId="0" fontId="5" fillId="14" borderId="51" xfId="0" applyAlignment="1" applyBorder="1" applyFont="1" applyNumberFormat="1" applyFill="1" applyProtection="1">
      <alignment horizontal="center" vertical="center" wrapText="1"/>
      <protection locked="0"/>
    </xf>
    <xf xxid="1633" numFmtId="0" fontId="5" fillId="10" borderId="51" xfId="0" applyAlignment="1" applyBorder="1" applyFont="1" applyNumberFormat="1" applyFill="1" applyProtection="1">
      <alignment horizontal="center" vertical="center" wrapText="1"/>
      <protection locked="0"/>
    </xf>
    <xf xxid="1634" numFmtId="0" fontId="5" fillId="10" borderId="58" xfId="0" applyAlignment="1" applyBorder="1" applyFont="1" applyNumberFormat="1" applyFill="1" applyProtection="1">
      <alignment horizontal="center" vertical="center" wrapText="1"/>
      <protection locked="0"/>
    </xf>
    <xf xxid="1635" numFmtId="0" fontId="5" fillId="10" borderId="0" xfId="4" applyAlignment="1" applyBorder="1" applyFont="1" applyNumberFormat="1" applyFill="1" applyProtection="1">
      <alignment horizontal="left" wrapText="1"/>
      <protection locked="0"/>
    </xf>
    <xf xxid="1636" numFmtId="0" fontId="5" fillId="10" borderId="0" xfId="4" applyAlignment="1" applyBorder="1" applyFont="1" applyNumberFormat="1" applyFill="1" applyProtection="1">
      <alignment horizontal="left" vertical="top" wrapText="1"/>
      <protection locked="0"/>
    </xf>
    <xf xxid="1637" numFmtId="0" fontId="5" fillId="14" borderId="35" xfId="0" applyAlignment="1" applyBorder="1" applyFont="1" applyNumberFormat="1" applyFill="1" applyProtection="1">
      <alignment horizontal="center" vertical="center" wrapText="1"/>
      <protection locked="0"/>
    </xf>
    <xf xxid="1638" numFmtId="0" fontId="5" fillId="10" borderId="35" xfId="0" applyAlignment="1" applyBorder="1" applyFont="1" applyNumberFormat="1" applyFill="1" applyProtection="1">
      <alignment horizontal="center" vertical="center" wrapText="1"/>
      <protection locked="0"/>
    </xf>
    <xf xxid="1639" numFmtId="0" fontId="5" fillId="14" borderId="73" xfId="0" applyAlignment="1" applyBorder="1" applyFont="1" applyNumberFormat="1" applyFill="1" applyProtection="1">
      <alignment horizontal="center" vertical="center" wrapText="1"/>
      <protection locked="0"/>
    </xf>
    <xf xxid="1640" numFmtId="0" fontId="5" fillId="10" borderId="41" xfId="0" applyAlignment="1" applyBorder="1" applyFont="1" applyNumberFormat="1" applyFill="1" applyProtection="1">
      <alignment horizontal="center" vertical="center" wrapText="1"/>
      <protection locked="0"/>
    </xf>
    <xf xxid="1641" numFmtId="0" fontId="5" fillId="10" borderId="38" xfId="0" applyAlignment="1" applyBorder="1" applyFont="1" applyNumberFormat="1" applyFill="1" applyProtection="1">
      <alignment horizontal="center" vertical="center" wrapText="1"/>
      <protection locked="0"/>
    </xf>
    <xf xxid="1642" numFmtId="0" fontId="2" fillId="5" borderId="7" xfId="4" applyAlignment="1" applyBorder="1" applyFont="1" applyNumberFormat="1" applyFill="1" applyProtection="1">
      <alignment horizontal="left"/>
      <protection locked="0"/>
    </xf>
    <xf xxid="1643" numFmtId="0" fontId="5" fillId="14" borderId="47" xfId="4" applyAlignment="1" applyBorder="1" applyFont="1" applyNumberFormat="1" applyFill="1" applyProtection="1">
      <alignment horizontal="center"/>
      <protection locked="0"/>
    </xf>
    <xf xxid="1644" numFmtId="0" fontId="5" fillId="10" borderId="49" xfId="4" applyAlignment="1" applyBorder="1" applyFont="1" applyNumberFormat="1" applyFill="1" applyProtection="1">
      <alignment horizontal="center"/>
      <protection locked="0"/>
    </xf>
    <xf xxid="1645" numFmtId="173" fontId="2" fillId="5" borderId="73" xfId="0" applyAlignment="1" applyBorder="1" applyFont="1" applyNumberFormat="1" applyFill="1" applyProtection="1">
      <alignment horizontal="center"/>
      <protection locked="0"/>
    </xf>
    <xf xxid="1646" numFmtId="173" fontId="2" fillId="5" borderId="41" xfId="0" applyAlignment="1" applyBorder="1" applyFont="1" applyNumberFormat="1" applyFill="1" applyProtection="1">
      <alignment horizontal="center"/>
      <protection locked="0"/>
    </xf>
    <xf xxid="1647" numFmtId="173" fontId="2" fillId="5" borderId="38" xfId="0" applyAlignment="1" applyBorder="1" applyFont="1" applyNumberFormat="1" applyFill="1" applyProtection="1">
      <alignment horizontal="center"/>
      <protection locked="0"/>
    </xf>
    <xf xxid="1648" numFmtId="169" fontId="2" fillId="0" borderId="73" xfId="1" applyAlignment="1" applyBorder="1" applyFont="1" applyNumberFormat="1" applyFill="1" applyProtection="1">
      <alignment horizontal="center"/>
      <protection hidden="1"/>
    </xf>
    <xf xxid="1649" numFmtId="169" fontId="2" fillId="0" borderId="41" xfId="1" applyAlignment="1" applyBorder="1" applyFont="1" applyNumberFormat="1" applyFill="1" applyProtection="1">
      <alignment horizontal="center"/>
      <protection hidden="1"/>
    </xf>
    <xf xxid="1650" numFmtId="169" fontId="2" fillId="0" borderId="38" xfId="1" applyAlignment="1" applyBorder="1" applyFont="1" applyNumberFormat="1" applyFill="1" applyProtection="1">
      <alignment horizontal="center"/>
      <protection hidden="1"/>
    </xf>
    <xf xxid="1651" numFmtId="0" fontId="29" fillId="24" borderId="0" xfId="4" applyAlignment="1" applyBorder="1" applyFont="1" applyNumberFormat="1" applyFill="1" applyProtection="1">
      <alignment horizontal="center"/>
      <protection locked="0"/>
    </xf>
    <xf xxid="1652" numFmtId="0" fontId="5" fillId="10" borderId="56" xfId="4" applyAlignment="1" applyBorder="1" applyFont="1" applyNumberFormat="1" applyFill="1" applyProtection="1">
      <alignment horizontal="center"/>
      <protection locked="0"/>
    </xf>
    <xf xxid="1653" numFmtId="0" fontId="5" fillId="10" borderId="0" xfId="4" applyAlignment="1" applyBorder="1" applyFont="1" applyNumberFormat="1" applyFill="1" applyProtection="1">
      <alignment horizontal="left"/>
      <protection locked="0"/>
    </xf>
    <xf xxid="1654" numFmtId="169" fontId="2" fillId="5" borderId="73" xfId="4" applyAlignment="1" applyBorder="1" applyFont="1" applyNumberFormat="1" applyFill="1" applyProtection="1">
      <alignment horizontal="center"/>
      <protection locked="0"/>
    </xf>
    <xf xxid="1655" numFmtId="169" fontId="2" fillId="0" borderId="41" xfId="0" applyAlignment="1" applyBorder="1" applyFont="1" applyNumberFormat="1" applyFill="1" applyProtection="1">
      <protection locked="0"/>
    </xf>
    <xf xxid="1656" numFmtId="169" fontId="2" fillId="0" borderId="38" xfId="0" applyAlignment="1" applyBorder="1" applyFont="1" applyNumberFormat="1" applyFill="1" applyProtection="1">
      <protection locked="0"/>
    </xf>
    <xf xxid="1657" numFmtId="0" fontId="5" fillId="10" borderId="115" xfId="0" applyAlignment="1" applyBorder="1" applyFont="1" applyNumberFormat="1" applyFill="1" applyProtection="1">
      <alignment horizontal="center" vertical="center" wrapText="1"/>
      <protection locked="0"/>
    </xf>
    <xf xxid="1658" numFmtId="0" fontId="5" fillId="14" borderId="68" xfId="0" applyAlignment="1" applyBorder="1" applyFont="1" applyNumberFormat="1" applyFill="1" applyProtection="1">
      <alignment horizontal="center" vertical="center" wrapText="1"/>
      <protection locked="0"/>
    </xf>
    <xf xxid="1659" numFmtId="0" fontId="5" fillId="10" borderId="46" xfId="4" applyAlignment="1" applyBorder="1" applyFont="1" applyNumberFormat="1" applyFill="1" applyProtection="1">
      <alignment horizontal="center" vertical="center"/>
      <protection locked="0"/>
    </xf>
    <xf xxid="1660" numFmtId="169" fontId="2" fillId="0" borderId="24" xfId="1" applyAlignment="1" applyBorder="1" applyFont="1" applyNumberFormat="1" applyFill="1" applyProtection="1">
      <alignment horizontal="center"/>
      <protection hidden="1"/>
    </xf>
    <xf xxid="1661" numFmtId="169" fontId="2" fillId="0" borderId="21" xfId="1" applyAlignment="1" applyBorder="1" applyFont="1" applyNumberFormat="1" applyFill="1" applyProtection="1">
      <alignment horizontal="center"/>
      <protection hidden="1"/>
    </xf>
    <xf xxid="1662" numFmtId="169" fontId="2" fillId="0" borderId="30" xfId="1" applyAlignment="1" applyBorder="1" applyFont="1" applyNumberFormat="1" applyFill="1" applyProtection="1">
      <alignment horizontal="center"/>
      <protection hidden="1"/>
    </xf>
    <xf xxid="1663" numFmtId="173" fontId="2" fillId="5" borderId="73" xfId="4" applyAlignment="1" applyBorder="1" applyFont="1" applyNumberFormat="1" applyFill="1" applyProtection="1">
      <alignment horizontal="center"/>
      <protection locked="0"/>
    </xf>
    <xf xxid="1664" numFmtId="173" fontId="2" fillId="0" borderId="41" xfId="0" applyAlignment="1" applyBorder="1" applyFont="1" applyNumberFormat="1" applyFill="1" applyProtection="1">
      <protection locked="0"/>
    </xf>
    <xf xxid="1665" numFmtId="173" fontId="2" fillId="0" borderId="38" xfId="0" applyAlignment="1" applyBorder="1" applyFont="1" applyNumberFormat="1" applyFill="1" applyProtection="1">
      <protection locked="0"/>
    </xf>
    <xf xxid="1666" numFmtId="0" fontId="5" fillId="14" borderId="72" xfId="4" applyAlignment="1" applyBorder="1" applyFont="1" applyNumberFormat="1" applyFill="1" applyProtection="1">
      <alignment horizontal="center" vertical="center"/>
      <protection locked="0"/>
    </xf>
    <xf xxid="1667" numFmtId="0" fontId="5" fillId="10" borderId="72" xfId="4" applyAlignment="1" applyBorder="1" applyFont="1" applyNumberFormat="1" applyFill="1" applyProtection="1">
      <alignment horizontal="center" vertical="center"/>
      <protection locked="0"/>
    </xf>
    <xf xxid="1668" numFmtId="0" fontId="5" fillId="10" borderId="116" xfId="4" applyAlignment="1" applyBorder="1" applyFont="1" applyNumberFormat="1" applyFill="1" applyProtection="1">
      <alignment horizontal="center" vertical="center"/>
      <protection locked="0"/>
    </xf>
    <xf xxid="1669" numFmtId="0" fontId="5" fillId="14" borderId="117" xfId="4" applyAlignment="1" applyBorder="1" applyFont="1" applyNumberFormat="1" applyFill="1" applyProtection="1">
      <alignment horizontal="center" vertical="center"/>
      <protection locked="0"/>
    </xf>
    <xf xxid="1670" numFmtId="0" fontId="5" fillId="10" borderId="118" xfId="4" applyAlignment="1" applyBorder="1" applyFont="1" applyNumberFormat="1" applyFill="1" applyProtection="1">
      <alignment horizontal="center" vertical="center"/>
      <protection locked="0"/>
    </xf>
    <xf xxid="1671" numFmtId="169" fontId="5" fillId="6" borderId="73" xfId="4" applyAlignment="1" applyBorder="1" applyFont="1" applyNumberFormat="1" applyFill="1" applyProtection="1">
      <alignment horizontal="center"/>
    </xf>
    <xf xxid="1672" numFmtId="0" fontId="5" fillId="6" borderId="41" xfId="4" applyAlignment="1" applyBorder="1" applyFont="1" applyNumberFormat="1" applyFill="1" applyProtection="1">
      <alignment horizontal="center"/>
    </xf>
    <xf xxid="1673" numFmtId="0" fontId="5" fillId="6" borderId="38" xfId="4" applyAlignment="1" applyBorder="1" applyFont="1" applyNumberFormat="1" applyFill="1" applyProtection="1">
      <alignment horizontal="center"/>
    </xf>
    <xf xxid="1674" numFmtId="0" fontId="17" fillId="0" borderId="0" xfId="4" applyAlignment="1" applyBorder="1" applyFont="1" applyNumberFormat="1" applyFill="1" applyProtection="1">
      <alignment horizontal="left"/>
      <protection locked="0"/>
    </xf>
    <xf xxid="1675" numFmtId="0" fontId="5" fillId="14" borderId="0" xfId="0" applyAlignment="1" applyBorder="1" applyFont="1" applyNumberFormat="1" applyFill="1" applyProtection="1">
      <alignment horizontal="left" vertical="center" wrapText="1"/>
      <protection locked="0"/>
    </xf>
    <xf xxid="1676" numFmtId="0" fontId="5" fillId="10" borderId="0" xfId="0" applyAlignment="1" applyBorder="1" applyFont="1" applyNumberFormat="1" applyFill="1" applyProtection="1">
      <alignment horizontal="left" vertical="center" wrapText="1"/>
      <protection locked="0"/>
    </xf>
    <xf xxid="1677" numFmtId="0" fontId="5" fillId="14" borderId="119" xfId="0" applyAlignment="1" applyBorder="1" applyFont="1" applyNumberFormat="1" applyFill="1" applyProtection="1">
      <alignment horizontal="center" vertical="center" wrapText="1"/>
      <protection locked="0"/>
    </xf>
    <xf xxid="1678" numFmtId="0" fontId="5" fillId="10" borderId="30" xfId="0" applyAlignment="1" applyBorder="1" applyFont="1" applyNumberFormat="1" applyFill="1" applyProtection="1">
      <alignment horizontal="center" vertical="center" wrapText="1"/>
      <protection locked="0"/>
    </xf>
    <xf xxid="1679" numFmtId="0" fontId="5" fillId="10" borderId="56" xfId="0" applyAlignment="1" applyBorder="1" applyFont="1" applyNumberFormat="1" applyFill="1" applyProtection="1">
      <alignment horizontal="center"/>
      <protection hidden="1"/>
    </xf>
    <xf xxid="1680" numFmtId="0" fontId="5" fillId="14" borderId="0" xfId="0" applyAlignment="1" applyBorder="1" applyFont="1" applyNumberFormat="1" applyFill="1" applyProtection="1">
      <alignment horizontal="left" wrapText="1" shrinkToFit="1"/>
      <protection locked="0"/>
    </xf>
    <xf xxid="1681" numFmtId="0" fontId="5" fillId="10" borderId="0" xfId="0" applyAlignment="1" applyBorder="1" applyFont="1" applyNumberFormat="1" applyFill="1" applyProtection="1">
      <alignment horizontal="left" wrapText="1" shrinkToFit="1"/>
      <protection locked="0"/>
    </xf>
    <xf xxid="1682" numFmtId="0" fontId="5" fillId="10" borderId="50" xfId="0" applyAlignment="1" applyBorder="1" applyFont="1" applyNumberFormat="1" applyFill="1" applyProtection="1">
      <alignment horizontal="left" wrapText="1" shrinkToFit="1"/>
      <protection locked="0"/>
    </xf>
    <xf xxid="1683" numFmtId="0" fontId="5" fillId="10" borderId="0" xfId="0" applyAlignment="1" applyBorder="1" applyFont="1" applyNumberFormat="1" applyFill="1" applyProtection="1">
      <alignment horizontal="left" vertical="top" wrapText="1"/>
      <protection locked="0"/>
    </xf>
    <xf xxid="1684" numFmtId="0" fontId="5" fillId="10" borderId="50" xfId="0" applyAlignment="1" applyBorder="1" applyFont="1" applyNumberFormat="1" applyFill="1" applyProtection="1">
      <alignment horizontal="left" vertical="top" wrapText="1"/>
      <protection locked="0"/>
    </xf>
    <xf xxid="1685" numFmtId="0" fontId="5" fillId="14" borderId="0" xfId="0" applyAlignment="1" applyBorder="1" applyFont="1" applyNumberFormat="1" applyFill="1" applyProtection="1">
      <alignment horizontal="left" wrapText="1"/>
      <protection locked="0"/>
    </xf>
    <xf xxid="1686" numFmtId="0" fontId="5" fillId="10" borderId="0" xfId="0" applyAlignment="1" applyBorder="1" applyFont="1" applyNumberFormat="1" applyFill="1" applyProtection="1">
      <alignment horizontal="left" wrapText="1"/>
      <protection locked="0"/>
    </xf>
    <xf xxid="1687" numFmtId="0" fontId="5" fillId="10" borderId="50" xfId="0" applyAlignment="1" applyBorder="1" applyFont="1" applyNumberFormat="1" applyFill="1" applyProtection="1">
      <alignment horizontal="left" wrapText="1"/>
      <protection locked="0"/>
    </xf>
    <xf xxid="1688" numFmtId="169" fontId="5" fillId="5" borderId="73" xfId="0" applyAlignment="1" applyBorder="1" applyFont="1" applyNumberFormat="1" applyFill="1" applyProtection="1">
      <alignment horizontal="center"/>
      <protection locked="0"/>
    </xf>
    <xf xxid="1689" numFmtId="0" fontId="5" fillId="5" borderId="41" xfId="0" applyAlignment="1" applyBorder="1" applyFont="1" applyNumberFormat="1" applyFill="1" applyProtection="1">
      <alignment horizontal="center"/>
      <protection locked="0"/>
    </xf>
    <xf xxid="1690" numFmtId="0" fontId="5" fillId="5" borderId="38" xfId="0" applyAlignment="1" applyBorder="1" applyFont="1" applyNumberFormat="1" applyFill="1" applyProtection="1">
      <alignment horizontal="center"/>
      <protection locked="0"/>
    </xf>
    <xf xxid="1691" numFmtId="0" fontId="5" fillId="10" borderId="50" xfId="0" applyAlignment="1" applyBorder="1" applyFont="1" applyNumberFormat="1" applyFill="1" applyProtection="1">
      <alignment horizontal="left" vertical="center" wrapText="1"/>
      <protection locked="0"/>
    </xf>
    <xf xxid="1692" numFmtId="0" fontId="2" fillId="5" borderId="0" xfId="4" applyAlignment="1" applyBorder="1" applyFont="1" applyNumberFormat="1" applyFill="1" applyProtection="1">
      <alignment horizontal="center"/>
      <protection hidden="1" locked="0"/>
    </xf>
    <xf xxid="1693" numFmtId="49" fontId="2" fillId="5" borderId="73" xfId="4" applyAlignment="1" applyBorder="1" applyFont="1" applyNumberFormat="1" applyFill="1" applyProtection="1">
      <alignment horizontal="left"/>
      <protection locked="0"/>
    </xf>
    <xf xxid="1694" numFmtId="49" fontId="0" fillId="0" borderId="41" xfId="0" applyAlignment="1" applyBorder="1" applyFont="1" applyNumberFormat="1" applyFill="1" applyProtection="1">
      <alignment horizontal="left"/>
    </xf>
    <xf xxid="1695" numFmtId="49" fontId="0" fillId="0" borderId="38" xfId="0" applyAlignment="1" applyBorder="1" applyFont="1" applyNumberFormat="1" applyFill="1" applyProtection="1">
      <alignment horizontal="left"/>
    </xf>
    <xf xxid="1696" numFmtId="0" fontId="2" fillId="5" borderId="73" xfId="4" applyAlignment="1" applyBorder="1" applyFont="1" applyNumberFormat="1" applyFill="1" applyProtection="1">
      <alignment horizontal="left"/>
      <protection locked="0"/>
    </xf>
    <xf xxid="1697" numFmtId="0" fontId="0" fillId="0" borderId="41" xfId="0" applyAlignment="1" applyBorder="1" applyFont="1" applyNumberFormat="1" applyFill="1" applyProtection="1">
      <alignment horizontal="left"/>
    </xf>
    <xf xxid="1698" numFmtId="0" fontId="0" fillId="0" borderId="38" xfId="0" applyAlignment="1" applyBorder="1" applyFont="1" applyNumberFormat="1" applyFill="1" applyProtection="1">
      <alignment horizontal="left"/>
    </xf>
    <xf xxid="1699" numFmtId="169" fontId="2" fillId="0" borderId="0" xfId="1" applyAlignment="1" applyBorder="1" applyFont="1" applyNumberFormat="1" applyFill="1" applyProtection="1">
      <alignment horizontal="center"/>
    </xf>
    <xf xxid="1700" numFmtId="0" fontId="2" fillId="5" borderId="24" xfId="4" applyAlignment="1" applyBorder="1" applyFont="1" applyNumberFormat="1" applyFill="1" applyProtection="1">
      <alignment horizontal="center"/>
      <protection locked="0"/>
    </xf>
    <xf xxid="1701" numFmtId="0" fontId="2" fillId="5" borderId="21" xfId="4" applyAlignment="1" applyBorder="1" applyFont="1" applyNumberFormat="1" applyFill="1" applyProtection="1">
      <alignment horizontal="center"/>
      <protection locked="0"/>
    </xf>
    <xf xxid="1702" numFmtId="0" fontId="2" fillId="5" borderId="30" xfId="4" applyAlignment="1" applyBorder="1" applyFont="1" applyNumberFormat="1" applyFill="1" applyProtection="1">
      <alignment horizontal="center"/>
      <protection locked="0"/>
    </xf>
    <xf xxid="1703" numFmtId="0" fontId="5" fillId="10" borderId="120" xfId="4" applyAlignment="1" applyBorder="1" applyFont="1" applyNumberFormat="1" applyFill="1" applyProtection="1">
      <alignment horizontal="center" vertical="center"/>
      <protection locked="0"/>
    </xf>
    <xf xxid="1704" numFmtId="0" fontId="5" fillId="10" borderId="121" xfId="4" applyAlignment="1" applyBorder="1" applyFont="1" applyNumberFormat="1" applyFill="1" applyProtection="1">
      <alignment horizontal="center" vertical="center"/>
      <protection locked="0"/>
    </xf>
    <xf xxid="1705" numFmtId="0" fontId="5" fillId="14" borderId="96" xfId="0" applyAlignment="1" applyBorder="1" applyFont="1" applyNumberFormat="1" applyFill="1" applyProtection="1">
      <alignment horizontal="center"/>
      <protection locked="0"/>
    </xf>
    <xf xxid="1706" numFmtId="0" fontId="5" fillId="10" borderId="46" xfId="0" applyAlignment="1" applyBorder="1" applyFont="1" applyNumberFormat="1" applyFill="1" applyProtection="1">
      <alignment horizontal="center"/>
      <protection locked="0"/>
    </xf>
    <xf xxid="1707" numFmtId="0" fontId="5" fillId="14" borderId="52" xfId="0" applyAlignment="1" applyBorder="1" applyFont="1" applyNumberFormat="1" applyFill="1" applyProtection="1">
      <alignment horizontal="center"/>
      <protection locked="0"/>
    </xf>
    <xf xxid="1708" numFmtId="0" fontId="5" fillId="10" borderId="52" xfId="0" applyAlignment="1" applyBorder="1" applyFont="1" applyNumberFormat="1" applyFill="1" applyProtection="1">
      <alignment horizontal="center"/>
      <protection locked="0"/>
    </xf>
    <xf xxid="1709" numFmtId="0" fontId="5" fillId="10" borderId="113" xfId="0" applyAlignment="1" applyBorder="1" applyFont="1" applyNumberFormat="1" applyFill="1" applyProtection="1">
      <alignment horizontal="center"/>
      <protection locked="0"/>
    </xf>
    <xf xxid="1710" numFmtId="0" fontId="5" fillId="10" borderId="0" xfId="0" applyAlignment="1" applyBorder="1" applyFont="1" applyNumberFormat="1" applyFill="1" applyProtection="1">
      <alignment horizontal="center"/>
      <protection locked="0"/>
    </xf>
    <xf xxid="1711" numFmtId="170" fontId="2" fillId="5" borderId="73" xfId="0" applyAlignment="1" applyBorder="1" applyFont="1" applyNumberFormat="1" applyFill="1" applyProtection="1">
      <protection locked="0"/>
    </xf>
    <xf xxid="1712" numFmtId="170" fontId="2" fillId="5" borderId="41" xfId="0" applyAlignment="1" applyBorder="1" applyFont="1" applyNumberFormat="1" applyFill="1" applyProtection="1">
      <protection locked="0"/>
    </xf>
    <xf xxid="1713" numFmtId="170" fontId="2" fillId="5" borderId="38" xfId="0" applyAlignment="1" applyBorder="1" applyFont="1" applyNumberFormat="1" applyFill="1" applyProtection="1">
      <protection locked="0"/>
    </xf>
    <xf xxid="1714" numFmtId="0" fontId="5" fillId="14" borderId="54" xfId="0" applyAlignment="1" applyBorder="1" applyFont="1" applyNumberFormat="1" applyFill="1" applyProtection="1">
      <alignment horizontal="center" vertical="center" wrapText="1"/>
      <protection locked="0"/>
    </xf>
    <xf xxid="1715" numFmtId="0" fontId="5" fillId="10" borderId="49" xfId="0" applyAlignment="1" applyBorder="1" applyFont="1" applyNumberFormat="1" applyFill="1" applyProtection="1">
      <alignment horizontal="center" vertical="center" wrapText="1"/>
      <protection locked="0"/>
    </xf>
    <xf xxid="1716" numFmtId="173" fontId="2" fillId="5" borderId="39" xfId="1" applyAlignment="1" applyBorder="1" applyFont="1" applyNumberFormat="1" applyFill="1" applyProtection="1">
      <alignment horizontal="center" wrapText="1"/>
      <protection locked="0"/>
    </xf>
    <xf xxid="1717" numFmtId="173" fontId="2" fillId="5" borderId="7" xfId="1" applyAlignment="1" applyBorder="1" applyFont="1" applyNumberFormat="1" applyFill="1" applyProtection="1">
      <alignment horizontal="center" wrapText="1"/>
      <protection locked="0"/>
    </xf>
    <xf xxid="1718" numFmtId="0" fontId="5" fillId="14" borderId="115" xfId="3" applyAlignment="1" applyBorder="1" applyFont="1" applyNumberFormat="1" applyFill="1" applyProtection="1">
      <alignment horizontal="center" vertical="center" wrapText="1"/>
      <protection locked="0"/>
    </xf>
    <xf xxid="1719" numFmtId="0" fontId="0" fillId="27" borderId="46" xfId="0" applyAlignment="1" applyBorder="1" applyFont="1" applyNumberFormat="1" applyFill="1" applyProtection="1">
      <alignment horizontal="center"/>
    </xf>
    <xf xxid="1720" numFmtId="0" fontId="2" fillId="5" borderId="24" xfId="3" applyAlignment="1" applyBorder="1" applyFont="1" applyNumberFormat="1" applyFill="1" applyProtection="1">
      <alignment horizontal="left" vertical="top" wrapText="1"/>
      <protection locked="0"/>
    </xf>
    <xf xxid="1721" numFmtId="0" fontId="2" fillId="5" borderId="30" xfId="3" applyAlignment="1" applyBorder="1" applyFont="1" applyNumberFormat="1" applyFill="1" applyProtection="1">
      <alignment horizontal="left" vertical="top" wrapText="1"/>
      <protection locked="0"/>
    </xf>
    <xf xxid="1722" numFmtId="0" fontId="5" fillId="27" borderId="0" xfId="0" applyAlignment="1" applyBorder="1" applyFont="1" applyNumberFormat="1" applyFill="1" applyProtection="1">
      <alignment horizontal="right" vertical="center"/>
    </xf>
    <xf xxid="1723" numFmtId="0" fontId="5" fillId="14" borderId="117" xfId="0" applyAlignment="1" applyBorder="1" applyFont="1" applyNumberFormat="1" applyFill="1" applyProtection="1">
      <alignment horizontal="center" vertical="center" wrapText="1"/>
    </xf>
    <xf xxid="1724" numFmtId="0" fontId="5" fillId="14" borderId="72" xfId="0" applyAlignment="1" applyBorder="1" applyFont="1" applyNumberFormat="1" applyFill="1" applyProtection="1">
      <alignment horizontal="center" vertical="center" wrapText="1"/>
    </xf>
    <xf xxid="1725" numFmtId="0" fontId="5" fillId="14" borderId="118" xfId="0" applyAlignment="1" applyBorder="1" applyFont="1" applyNumberFormat="1" applyFill="1" applyProtection="1">
      <alignment horizontal="center" vertical="center" wrapText="1"/>
    </xf>
    <xf xxid="1726" numFmtId="0" fontId="5" fillId="14" borderId="116" xfId="0" applyAlignment="1" applyBorder="1" applyFont="1" applyNumberFormat="1" applyFill="1" applyProtection="1">
      <alignment horizontal="center" vertical="center" wrapText="1"/>
    </xf>
    <xf xxid="1727" numFmtId="173" fontId="2" fillId="5" borderId="24" xfId="1" applyAlignment="1" applyBorder="1" applyFont="1" applyNumberFormat="1" applyFill="1" applyProtection="1">
      <alignment horizontal="center" wrapText="1"/>
      <protection locked="0"/>
    </xf>
    <xf xxid="1728" numFmtId="173" fontId="2" fillId="5" borderId="30" xfId="1" applyAlignment="1" applyBorder="1" applyFont="1" applyNumberFormat="1" applyFill="1" applyProtection="1">
      <alignment horizontal="center" wrapText="1"/>
      <protection locked="0"/>
    </xf>
    <xf xxid="1729" numFmtId="173" fontId="2" fillId="5" borderId="119" xfId="1" applyAlignment="1" applyBorder="1" applyFont="1" applyNumberFormat="1" applyFill="1" applyProtection="1">
      <alignment horizontal="center" wrapText="1"/>
      <protection locked="0"/>
    </xf>
    <xf xxid="1730" numFmtId="0" fontId="0" fillId="14" borderId="96" xfId="0" applyAlignment="1" applyBorder="1" applyFont="1" applyNumberFormat="1" applyFill="1" applyProtection="1">
      <alignment horizontal="center"/>
    </xf>
    <xf xxid="1731" numFmtId="0" fontId="0" fillId="14" borderId="46" xfId="0" applyAlignment="1" applyBorder="1" applyFont="1" applyNumberFormat="1" applyFill="1" applyProtection="1">
      <alignment horizontal="center"/>
    </xf>
    <xf xxid="1732" numFmtId="0" fontId="0" fillId="14" borderId="19" xfId="0" applyAlignment="1" applyBorder="1" applyFont="1" applyNumberFormat="1" applyFill="1" applyProtection="1">
      <alignment horizontal="center"/>
    </xf>
    <xf xxid="1733" numFmtId="0" fontId="0" fillId="27" borderId="20" xfId="0" applyAlignment="1" applyBorder="1" applyFont="1" applyNumberFormat="1" applyFill="1" applyProtection="1">
      <alignment horizontal="center"/>
    </xf>
    <xf xxid="1734" numFmtId="0" fontId="0" fillId="14" borderId="47" xfId="0" applyAlignment="1" applyBorder="1" applyFont="1" applyNumberFormat="1" applyFill="1" applyProtection="1">
      <alignment horizontal="center"/>
    </xf>
    <xf xxid="1735" numFmtId="0" fontId="0" fillId="27" borderId="49" xfId="0" applyAlignment="1" applyBorder="1" applyFont="1" applyNumberFormat="1" applyFill="1" applyProtection="1">
      <alignment horizontal="center"/>
    </xf>
    <xf xxid="1736" numFmtId="0" fontId="0" fillId="27" borderId="55" xfId="0" applyAlignment="1" applyBorder="1" applyFont="1" applyNumberFormat="1" applyFill="1" applyProtection="1">
      <alignment horizontal="center"/>
    </xf>
    <xf xxid="1737" numFmtId="49" fontId="2" fillId="5" borderId="24" xfId="1" applyAlignment="1" applyBorder="1" applyFont="1" applyNumberFormat="1" applyFill="1" applyProtection="1">
      <alignment horizontal="center" wrapText="1"/>
      <protection locked="0"/>
    </xf>
    <xf xxid="1738" numFmtId="49" fontId="2" fillId="5" borderId="30" xfId="1" applyAlignment="1" applyBorder="1" applyFont="1" applyNumberFormat="1" applyFill="1" applyProtection="1">
      <alignment horizontal="center" wrapText="1"/>
      <protection locked="0"/>
    </xf>
    <xf xxid="1739" numFmtId="0" fontId="2" fillId="5" borderId="119" xfId="3" applyAlignment="1" applyBorder="1" applyFont="1" applyNumberFormat="1" applyFill="1" applyProtection="1">
      <alignment horizontal="left"/>
      <protection locked="0"/>
    </xf>
    <xf xxid="1740" numFmtId="0" fontId="2" fillId="5" borderId="30" xfId="3" applyAlignment="1" applyBorder="1" applyFont="1" applyNumberFormat="1" applyFill="1" applyProtection="1">
      <alignment horizontal="left"/>
      <protection locked="0"/>
    </xf>
    <xf xxid="1741" numFmtId="0" fontId="5" fillId="27" borderId="115" xfId="3" applyAlignment="1" applyBorder="1" applyFont="1" applyNumberFormat="1" applyFill="1" applyProtection="1">
      <alignment horizontal="center" vertical="center" wrapText="1"/>
      <protection locked="0"/>
    </xf>
    <xf xxid="1742" numFmtId="0" fontId="5" fillId="14" borderId="73" xfId="3" applyAlignment="1" applyBorder="1" applyFont="1" applyNumberFormat="1" applyFill="1" applyProtection="1">
      <alignment horizontal="center" vertical="center" wrapText="1"/>
      <protection locked="0"/>
    </xf>
    <xf xxid="1743" numFmtId="0" fontId="5" fillId="14" borderId="68" xfId="0" applyAlignment="1" applyBorder="1" applyFont="1" applyNumberFormat="1" applyFill="1" applyProtection="1">
      <alignment horizontal="center" vertical="center" wrapText="1"/>
    </xf>
    <xf xxid="1744" numFmtId="0" fontId="5" fillId="27" borderId="115" xfId="0" applyAlignment="1" applyBorder="1" applyFont="1" applyNumberFormat="1" applyFill="1" applyProtection="1">
      <alignment horizontal="center" vertical="center" wrapText="1"/>
    </xf>
    <xf xxid="1745" numFmtId="0" fontId="2" fillId="14" borderId="47" xfId="3" applyAlignment="1" applyBorder="1" applyFont="1" applyNumberFormat="1" applyFill="1" applyProtection="1">
      <alignment horizontal="center"/>
      <protection locked="0"/>
    </xf>
    <xf xxid="1746" numFmtId="0" fontId="2" fillId="27" borderId="49" xfId="3" applyAlignment="1" applyBorder="1" applyFont="1" applyNumberFormat="1" applyFill="1" applyProtection="1">
      <alignment horizontal="center"/>
      <protection locked="0"/>
    </xf>
    <xf xxid="1747" numFmtId="0" fontId="0" fillId="14" borderId="54" xfId="0" applyAlignment="1" applyBorder="1" applyFont="1" applyNumberFormat="1" applyFill="1" applyProtection="1">
      <alignment horizontal="center"/>
    </xf>
    <xf xxid="1748" numFmtId="0" fontId="0" fillId="14" borderId="49" xfId="0" applyAlignment="1" applyBorder="1" applyFont="1" applyNumberFormat="1" applyFill="1" applyProtection="1">
      <alignment horizontal="center"/>
    </xf>
    <xf xxid="1749" numFmtId="0" fontId="2" fillId="5" borderId="21" xfId="3" applyAlignment="1" applyBorder="1" applyFont="1" applyNumberFormat="1" applyFill="1" applyProtection="1">
      <alignment horizontal="left" vertical="top" wrapText="1"/>
      <protection locked="0"/>
    </xf>
    <xf xxid="1750" numFmtId="0" fontId="5" fillId="14" borderId="52" xfId="0" applyAlignment="1" applyBorder="1" applyFont="1" applyNumberFormat="1" applyFill="1" applyProtection="1">
      <alignment horizontal="center" vertical="center" wrapText="1"/>
    </xf>
    <xf xxid="1751" numFmtId="0" fontId="5" fillId="14" borderId="113" xfId="0" applyAlignment="1" applyBorder="1" applyFont="1" applyNumberFormat="1" applyFill="1" applyProtection="1">
      <alignment horizontal="center" vertical="center" wrapText="1"/>
    </xf>
    <xf xxid="1752" numFmtId="0" fontId="5" fillId="14" borderId="108" xfId="0" applyAlignment="1" applyBorder="1" applyFont="1" applyNumberFormat="1" applyFill="1" applyProtection="1">
      <alignment horizontal="center" vertical="center" wrapText="1"/>
    </xf>
    <xf xxid="1753" numFmtId="0" fontId="5" fillId="14" borderId="122" xfId="0" applyAlignment="1" applyBorder="1" applyFont="1" applyNumberFormat="1" applyFill="1" applyProtection="1">
      <alignment horizontal="center" vertical="center" wrapText="1"/>
    </xf>
    <xf xxid="1754" numFmtId="0" fontId="5" fillId="14" borderId="111" xfId="0" applyAlignment="1" applyBorder="1" applyFont="1" applyNumberFormat="1" applyFill="1" applyProtection="1">
      <alignment horizontal="center" vertical="center" wrapText="1"/>
    </xf>
    <xf xxid="1755" numFmtId="0" fontId="5" fillId="14" borderId="123" xfId="0" applyAlignment="1" applyBorder="1" applyFont="1" applyNumberFormat="1" applyFill="1" applyProtection="1">
      <alignment horizontal="center" vertical="center" wrapText="1"/>
    </xf>
    <xf xxid="1756" numFmtId="0" fontId="5" fillId="14" borderId="124" xfId="0" applyAlignment="1" applyBorder="1" applyFont="1" applyNumberFormat="1" applyFill="1" applyProtection="1">
      <alignment horizontal="center" vertical="center" wrapText="1"/>
    </xf>
    <xf xxid="1757" numFmtId="0" fontId="5" fillId="14" borderId="125" xfId="0" applyAlignment="1" applyBorder="1" applyFont="1" applyNumberFormat="1" applyFill="1" applyProtection="1">
      <alignment horizontal="center" vertical="center" wrapText="1"/>
    </xf>
    <xf xxid="1758" numFmtId="0" fontId="45" fillId="24" borderId="0" xfId="3" applyAlignment="1" applyBorder="1" applyFont="1" applyNumberFormat="1" applyFill="1" applyProtection="1">
      <alignment horizontal="center"/>
      <protection locked="0"/>
    </xf>
    <xf xxid="1759" numFmtId="0" fontId="5" fillId="27" borderId="51" xfId="0" applyAlignment="1" applyBorder="1" applyFont="1" applyNumberFormat="1" applyFill="1" applyProtection="1">
      <alignment horizontal="center" vertical="center" wrapText="1"/>
    </xf>
    <xf xxid="1760" numFmtId="0" fontId="73" fillId="12" borderId="0" xfId="4" applyAlignment="1" applyBorder="1" applyFont="1" applyNumberFormat="1" applyFill="1" applyProtection="1">
      <alignment horizontal="center"/>
    </xf>
    <xf xxid="1761" numFmtId="0" fontId="126" fillId="24" borderId="0" xfId="4" applyAlignment="1" applyBorder="1" applyFont="1" applyNumberFormat="1" applyFill="1" applyProtection="1">
      <alignment horizontal="center"/>
    </xf>
    <xf xxid="1762" numFmtId="0" fontId="17" fillId="0" borderId="0" xfId="4" applyAlignment="1" applyBorder="1" applyFont="1" applyNumberFormat="1" applyFill="1" applyProtection="1">
      <alignment horizontal="left" vertical="top" wrapText="1"/>
    </xf>
    <xf xxid="1763" numFmtId="0" fontId="5" fillId="13" borderId="52" xfId="4" applyAlignment="1" applyBorder="1" applyFont="1" applyNumberFormat="1" applyFill="1" applyProtection="1">
      <alignment horizontal="center" vertical="center" wrapText="1"/>
    </xf>
    <xf xxid="1764" numFmtId="0" fontId="5" fillId="13" borderId="113" xfId="4" applyAlignment="1" applyBorder="1" applyFont="1" applyNumberFormat="1" applyFill="1" applyProtection="1">
      <alignment horizontal="center" vertical="center" wrapText="1"/>
    </xf>
    <xf xxid="1765" numFmtId="0" fontId="2" fillId="0" borderId="21" xfId="4" applyAlignment="1" applyBorder="1" applyFont="1" applyNumberFormat="1" applyFill="1" applyProtection="1">
      <alignment horizontal="left" vertical="top" wrapText="1"/>
      <protection locked="0"/>
    </xf>
    <xf xxid="1766" numFmtId="0" fontId="17" fillId="0" borderId="1" xfId="16" applyAlignment="1" applyBorder="1" applyFont="1" applyNumberFormat="1" applyFill="1" applyProtection="1">
      <alignment horizontal="center" vertical="top" wrapText="1"/>
      <protection hidden="1"/>
    </xf>
    <xf xxid="1767" numFmtId="0" fontId="2" fillId="0" borderId="126" xfId="4" applyAlignment="1" applyBorder="1" applyFont="1" applyNumberFormat="1" applyFill="1" applyProtection="1">
      <alignment horizontal="left" vertical="top" wrapText="1"/>
      <protection locked="0"/>
    </xf>
    <xf xxid="1768" numFmtId="0" fontId="2" fillId="0" borderId="61" xfId="4" applyAlignment="1" applyBorder="1" applyFont="1" applyNumberFormat="1" applyFill="1" applyProtection="1">
      <alignment horizontal="left" vertical="top" wrapText="1"/>
      <protection locked="0"/>
    </xf>
    <xf xxid="1769" numFmtId="0" fontId="29" fillId="24" borderId="0" xfId="4" applyAlignment="1" applyBorder="1" applyFont="1" applyNumberFormat="1" applyFill="1" applyProtection="1">
      <alignment horizontal="center"/>
    </xf>
    <xf xxid="1770" numFmtId="0" fontId="5" fillId="13" borderId="42" xfId="4" applyAlignment="1" applyBorder="1" applyFont="1" applyNumberFormat="1" applyFill="1" applyProtection="1">
      <alignment horizontal="center" vertical="center"/>
    </xf>
    <xf xxid="1771" numFmtId="0" fontId="5" fillId="13" borderId="39" xfId="4" applyAlignment="1" applyBorder="1" applyFont="1" applyNumberFormat="1" applyFill="1" applyProtection="1">
      <alignment horizontal="center" vertical="center"/>
    </xf>
    <xf xxid="1772" numFmtId="49" fontId="5" fillId="13" borderId="52" xfId="4" applyAlignment="1" applyBorder="1" applyFont="1" applyNumberFormat="1" applyFill="1" applyProtection="1">
      <alignment horizontal="center" vertical="center" wrapText="1"/>
    </xf>
    <xf xxid="1773" numFmtId="49" fontId="5" fillId="13" borderId="7" xfId="4" applyAlignment="1" applyBorder="1" applyFont="1" applyNumberFormat="1" applyFill="1" applyProtection="1">
      <alignment horizontal="center" vertical="center" wrapText="1"/>
    </xf>
    <xf xxid="1774" numFmtId="0" fontId="5" fillId="13" borderId="52" xfId="4" applyAlignment="1" applyBorder="1" applyFont="1" applyNumberFormat="1" applyFill="1" applyProtection="1">
      <alignment horizontal="center" vertical="center"/>
    </xf>
    <xf xxid="1775" numFmtId="0" fontId="5" fillId="13" borderId="7" xfId="4" applyAlignment="1" applyBorder="1" applyFont="1" applyNumberFormat="1" applyFill="1" applyProtection="1">
      <alignment horizontal="center" vertical="center"/>
    </xf>
    <xf xxid="1776" numFmtId="189" fontId="5" fillId="13" borderId="52" xfId="4" applyAlignment="1" applyBorder="1" applyFont="1" applyNumberFormat="1" applyFill="1" applyProtection="1">
      <alignment horizontal="center" vertical="center" wrapText="1"/>
    </xf>
    <xf xxid="1777" numFmtId="189" fontId="5" fillId="13" borderId="7" xfId="4" applyAlignment="1" applyBorder="1" applyFont="1" applyNumberFormat="1" applyFill="1" applyProtection="1">
      <alignment horizontal="center" vertical="center" wrapText="1"/>
    </xf>
    <xf xxid="1778" numFmtId="0" fontId="17" fillId="0" borderId="1" xfId="16" applyAlignment="1" applyBorder="1" applyFont="1" applyNumberFormat="1" applyFill="1" applyProtection="1">
      <alignment horizontal="center" vertical="top" wrapText="1"/>
    </xf>
    <xf xxid="1779" numFmtId="0" fontId="2" fillId="0" borderId="6" xfId="4" applyAlignment="1" applyBorder="1" applyFont="1" applyNumberFormat="1" applyFill="1" applyProtection="1">
      <alignment horizontal="left" vertical="top" wrapText="1"/>
      <protection locked="0"/>
    </xf>
    <xf xxid="1780" numFmtId="0" fontId="2" fillId="0" borderId="0" xfId="4" applyAlignment="1" applyBorder="1" applyFont="1" applyNumberFormat="1" applyFill="1" applyProtection="1">
      <alignment horizontal="left" vertical="top" wrapText="1"/>
      <protection locked="0"/>
    </xf>
    <xf xxid="1781" numFmtId="0" fontId="2" fillId="0" borderId="1" xfId="4" applyAlignment="1" applyBorder="1" applyFont="1" applyNumberFormat="1" applyFill="1" applyProtection="1">
      <alignment horizontal="left" vertical="top" wrapText="1"/>
      <protection locked="0"/>
    </xf>
    <xf xxid="1782" numFmtId="0" fontId="62" fillId="6" borderId="104" xfId="0" applyAlignment="1" applyBorder="1" applyFont="1" applyNumberFormat="1" applyFill="1" applyProtection="1">
      <alignment horizontal="center" vertical="center"/>
      <protection hidden="1"/>
    </xf>
    <xf xxid="1783" numFmtId="0" fontId="62" fillId="6" borderId="127" xfId="0" applyAlignment="1" applyBorder="1" applyFont="1" applyNumberFormat="1" applyFill="1" applyProtection="1">
      <alignment horizontal="center" vertical="center"/>
      <protection hidden="1"/>
    </xf>
    <xf xxid="1784" numFmtId="0" fontId="62" fillId="6" borderId="105" xfId="0" applyAlignment="1" applyBorder="1" applyFont="1" applyNumberFormat="1" applyFill="1" applyProtection="1">
      <alignment horizontal="center" vertical="center"/>
      <protection hidden="1"/>
    </xf>
    <xf xxid="1785" numFmtId="0" fontId="62" fillId="6" borderId="128" xfId="0" applyAlignment="1" applyBorder="1" applyFont="1" applyNumberFormat="1" applyFill="1" applyProtection="1">
      <alignment horizontal="center" vertical="center"/>
      <protection hidden="1"/>
    </xf>
    <xf xxid="1786" numFmtId="0" fontId="83" fillId="18" borderId="30" xfId="0" applyAlignment="1" applyBorder="1" applyFont="1" applyNumberFormat="1" applyFill="1" applyProtection="1">
      <alignment horizontal="center" vertical="center"/>
      <protection hidden="1"/>
    </xf>
    <xf xxid="1787" numFmtId="0" fontId="84" fillId="18" borderId="65" xfId="0" applyAlignment="1" applyBorder="1" applyFont="1" applyNumberFormat="1" applyFill="1" applyProtection="1">
      <alignment horizontal="center" vertical="center"/>
      <protection hidden="1"/>
    </xf>
    <xf xxid="1788" numFmtId="0" fontId="62" fillId="6" borderId="103" xfId="0" applyAlignment="1" applyBorder="1" applyFont="1" applyNumberFormat="1" applyFill="1" applyProtection="1">
      <alignment horizontal="center" vertical="center"/>
      <protection hidden="1"/>
    </xf>
    <xf xxid="1789" numFmtId="0" fontId="62" fillId="6" borderId="129" xfId="0" applyAlignment="1" applyBorder="1" applyFont="1" applyNumberFormat="1" applyFill="1" applyProtection="1">
      <alignment horizontal="center" vertical="center"/>
      <protection hidden="1"/>
    </xf>
    <xf xxid="1790" numFmtId="0" fontId="2" fillId="6" borderId="94" xfId="16" applyAlignment="1" applyBorder="1" applyFont="1" applyNumberFormat="1" applyFill="1" applyProtection="1">
      <alignment horizontal="left"/>
      <protection locked="0"/>
    </xf>
    <xf xxid="1791" numFmtId="0" fontId="47" fillId="6" borderId="0" xfId="16" applyAlignment="1" applyBorder="1" applyFont="1" applyNumberFormat="1" applyFill="1" applyProtection="1">
      <alignment horizontal="justify" vertical="top" wrapText="1"/>
      <protection locked="0"/>
    </xf>
    <xf xxid="1792" numFmtId="0" fontId="41" fillId="6" borderId="0" xfId="16" applyAlignment="1" applyBorder="1" applyFont="1" applyNumberFormat="1" applyFill="1" applyProtection="1">
      <alignment horizontal="center"/>
    </xf>
    <xf xxid="1793" numFmtId="0" fontId="2" fillId="6" borderId="130" xfId="16" applyAlignment="1" applyBorder="1" applyFont="1" applyNumberFormat="1" applyFill="1" applyProtection="1">
      <alignment horizontal="left"/>
    </xf>
    <xf xxid="1794" numFmtId="0" fontId="2" fillId="7" borderId="0" xfId="16" applyAlignment="1" applyBorder="1" applyFont="1" applyNumberFormat="1" applyFill="1" applyProtection="1">
      <alignment horizontal="left"/>
    </xf>
    <xf xxid="1795" numFmtId="0" fontId="9" fillId="0" borderId="0" xfId="16" applyAlignment="1" applyBorder="1" applyFont="1" applyNumberFormat="1" applyFill="1" applyProtection="1">
      <alignment horizontal="left"/>
    </xf>
    <xf xxid="1796" numFmtId="0" fontId="6" fillId="0" borderId="0" xfId="16" applyAlignment="1" applyBorder="1" applyFont="1" applyNumberFormat="1" applyFill="1" applyProtection="1">
      <alignment horizontal="center"/>
    </xf>
    <xf xxid="1797" numFmtId="0" fontId="6" fillId="0" borderId="0" xfId="16" applyAlignment="1" applyBorder="1" applyFont="1" applyNumberFormat="1" applyFill="1" applyProtection="1">
      <alignment horizontal="left"/>
    </xf>
    <xf xxid="1798" numFmtId="0" fontId="2" fillId="0" borderId="0" xfId="16" applyAlignment="1" applyBorder="1" applyFont="1" applyNumberFormat="1" applyFill="1" applyProtection="1">
      <alignment horizontal="left" vertical="top" wrapText="1"/>
    </xf>
    <xf xxid="1799" numFmtId="186" fontId="10" fillId="0" borderId="0" xfId="0" applyAlignment="1" applyBorder="1" applyFont="1" applyNumberFormat="1" applyFill="1" applyProtection="1">
      <alignment horizontal="left"/>
    </xf>
    <xf xxid="1800" numFmtId="169" fontId="9" fillId="0" borderId="0" xfId="16" applyAlignment="1" applyBorder="1" applyFont="1" applyNumberFormat="1" applyFill="1" applyProtection="1">
      <alignment horizontal="center" vertical="center"/>
    </xf>
    <xf xxid="1801" numFmtId="0" fontId="13" fillId="0" borderId="0" xfId="0" applyAlignment="1" applyBorder="1" applyFont="1" applyNumberFormat="1" applyFill="1" applyProtection="1">
      <alignment horizontal="center" vertical="center" textRotation="90"/>
    </xf>
    <xf xxid="1802" numFmtId="0" fontId="13" fillId="0" borderId="1" xfId="0" applyAlignment="1" applyBorder="1" applyFont="1" applyNumberFormat="1" applyFill="1" applyProtection="1">
      <alignment horizontal="center" vertical="center" textRotation="90"/>
    </xf>
    <xf xxid="1803" numFmtId="0" fontId="25" fillId="0" borderId="0" xfId="0" applyAlignment="1" applyBorder="1" applyFont="1" applyNumberFormat="1" applyFill="1" applyProtection="1">
      <alignment horizontal="center" vertical="center"/>
    </xf>
    <xf xxid="1804" numFmtId="0" fontId="21" fillId="0" borderId="4" xfId="0" applyAlignment="1" applyBorder="1" applyFont="1" applyNumberFormat="1" applyFill="1" applyProtection="1">
      <alignment horizontal="center" vertical="center"/>
    </xf>
    <xf xxid="1805" numFmtId="0" fontId="21" fillId="0" borderId="0" xfId="0" applyAlignment="1" applyBorder="1" applyFont="1" applyNumberFormat="1" applyFill="1" applyProtection="1">
      <alignment horizontal="center" vertical="center"/>
    </xf>
    <xf xxid="1806" numFmtId="0" fontId="21" fillId="0" borderId="5" xfId="0" applyAlignment="1" applyBorder="1" applyFont="1" applyNumberFormat="1" applyFill="1" applyProtection="1">
      <alignment horizontal="center" vertical="center"/>
    </xf>
    <xf xxid="1807" numFmtId="0" fontId="17" fillId="0" borderId="14" xfId="0" applyAlignment="1" applyBorder="1" applyFont="1" applyNumberFormat="1" applyFill="1" applyProtection="1">
      <alignment horizontal="center"/>
    </xf>
    <xf xxid="1808" numFmtId="0" fontId="17" fillId="0" borderId="1" xfId="0" applyAlignment="1" applyBorder="1" applyFont="1" applyNumberFormat="1" applyFill="1" applyProtection="1">
      <alignment horizontal="center"/>
    </xf>
    <xf xxid="1809" numFmtId="0" fontId="17" fillId="0" borderId="3" xfId="0" applyAlignment="1" applyBorder="1" applyFont="1" applyNumberFormat="1" applyFill="1" applyProtection="1">
      <alignment horizontal="center"/>
    </xf>
    <xf xxid="1810" numFmtId="0" fontId="5" fillId="0" borderId="5" xfId="0" applyAlignment="1" applyBorder="1" applyFont="1" applyNumberFormat="1" applyFill="1" applyProtection="1">
      <alignment horizontal="center"/>
    </xf>
    <xf xxid="1811" numFmtId="0" fontId="15" fillId="0" borderId="0" xfId="0" applyAlignment="1" applyBorder="1" applyFont="1" applyNumberFormat="1" applyFill="1" applyProtection="1">
      <alignment horizontal="left" vertical="center"/>
    </xf>
    <xf xxid="1812" numFmtId="0" fontId="5" fillId="0" borderId="6" xfId="0" applyAlignment="1" applyBorder="1" applyFont="1" applyNumberFormat="1" applyFill="1" applyProtection="1">
      <alignment horizontal="center" vertical="center" textRotation="90"/>
    </xf>
    <xf xxid="1813" numFmtId="0" fontId="15" fillId="0" borderId="24" xfId="0" applyAlignment="1" applyBorder="1" applyFont="1" applyNumberFormat="1" applyFill="1" applyProtection="1">
      <alignment horizontal="center"/>
    </xf>
    <xf xxid="1814" numFmtId="0" fontId="15" fillId="0" borderId="30" xfId="0" applyAlignment="1" applyBorder="1" applyFont="1" applyNumberFormat="1" applyFill="1" applyProtection="1">
      <alignment horizontal="center"/>
    </xf>
    <xf xxid="1815" numFmtId="0" fontId="10" fillId="0" borderId="23" xfId="0" applyAlignment="1" applyBorder="1" applyFont="1" applyNumberFormat="1" applyFill="1" applyProtection="1">
      <alignment horizontal="center" vertical="center" textRotation="90"/>
    </xf>
    <xf xxid="1816" numFmtId="0" fontId="10" fillId="0" borderId="9" xfId="0" applyAlignment="1" applyBorder="1" applyFont="1" applyNumberFormat="1" applyFill="1" applyProtection="1">
      <alignment horizontal="center" vertical="center" textRotation="90"/>
    </xf>
    <xf xxid="1817" numFmtId="0" fontId="10" fillId="0" borderId="22" xfId="0" applyAlignment="1" applyBorder="1" applyFont="1" applyNumberFormat="1" applyFill="1" applyProtection="1">
      <alignment horizontal="center" vertical="center" textRotation="90"/>
    </xf>
    <xf xxid="1818" numFmtId="0" fontId="10" fillId="0" borderId="10" xfId="0" applyAlignment="1" applyBorder="1" applyFont="1" applyNumberFormat="1" applyFill="1" applyProtection="1">
      <alignment horizontal="center" vertical="center" textRotation="90"/>
    </xf>
    <xf xxid="1819" numFmtId="0" fontId="10" fillId="0" borderId="0" xfId="0" applyAlignment="1" applyBorder="1" applyFont="1" applyNumberFormat="1" applyFill="1" applyProtection="1">
      <alignment horizontal="center" vertical="center" textRotation="90"/>
    </xf>
    <xf xxid="1820" numFmtId="0" fontId="10" fillId="0" borderId="12" xfId="0" applyAlignment="1" applyBorder="1" applyFont="1" applyNumberFormat="1" applyFill="1" applyProtection="1">
      <alignment horizontal="center" vertical="center" textRotation="90"/>
    </xf>
    <xf xxid="1821" numFmtId="0" fontId="10" fillId="0" borderId="19" xfId="0" applyAlignment="1" applyBorder="1" applyFont="1" applyNumberFormat="1" applyFill="1" applyProtection="1">
      <alignment horizontal="center" vertical="center" textRotation="90"/>
    </xf>
    <xf xxid="1822" numFmtId="0" fontId="10" fillId="0" borderId="8" xfId="0" applyAlignment="1" applyBorder="1" applyFont="1" applyNumberFormat="1" applyFill="1" applyProtection="1">
      <alignment horizontal="center" vertical="center" textRotation="90"/>
    </xf>
    <xf xxid="1823" numFmtId="0" fontId="10" fillId="0" borderId="20" xfId="0" applyAlignment="1" applyBorder="1" applyFont="1" applyNumberFormat="1" applyFill="1" applyProtection="1">
      <alignment horizontal="center" vertical="center" textRotation="90"/>
    </xf>
    <xf xxid="1824" numFmtId="0" fontId="13" fillId="0" borderId="4" xfId="0" applyAlignment="1" applyBorder="1" applyFont="1" applyNumberFormat="1" applyFill="1" applyProtection="1">
      <alignment horizontal="center" vertical="center" textRotation="90"/>
    </xf>
    <xf xxid="1825" numFmtId="0" fontId="13" fillId="0" borderId="14" xfId="0" applyAlignment="1" applyBorder="1" applyFont="1" applyNumberFormat="1" applyFill="1" applyProtection="1">
      <alignment horizontal="center" vertical="center" textRotation="90"/>
    </xf>
    <xf xxid="1826" numFmtId="0" fontId="5" fillId="0" borderId="0" xfId="0" applyAlignment="1" applyBorder="1" applyFont="1" applyNumberFormat="1" applyFill="1" applyProtection="1">
      <alignment horizontal="center" vertical="distributed"/>
    </xf>
    <xf xxid="1827" numFmtId="1" fontId="16" fillId="0" borderId="7" xfId="0" applyAlignment="1" applyBorder="1" applyFont="1" applyNumberFormat="1" applyFill="1" applyProtection="1">
      <alignment horizontal="center" vertical="center"/>
    </xf>
    <xf xxid="1828" numFmtId="0" fontId="6" fillId="0" borderId="16" xfId="0" applyAlignment="1" applyBorder="1" applyFont="1" applyNumberFormat="1" applyFill="1" applyProtection="1">
      <alignment horizontal="center" vertical="center"/>
    </xf>
    <xf xxid="1829" numFmtId="169" fontId="13" fillId="0" borderId="23" xfId="0" applyAlignment="1" applyBorder="1" applyFont="1" applyNumberFormat="1" applyFill="1" applyProtection="1">
      <alignment horizontal="center" vertical="center"/>
    </xf>
    <xf xxid="1830" numFmtId="169" fontId="13" fillId="0" borderId="9" xfId="0" applyAlignment="1" applyBorder="1" applyFont="1" applyNumberFormat="1" applyFill="1" applyProtection="1">
      <alignment horizontal="center" vertical="center"/>
    </xf>
    <xf xxid="1831" numFmtId="169" fontId="13" fillId="0" borderId="19" xfId="0" applyAlignment="1" applyBorder="1" applyFont="1" applyNumberFormat="1" applyFill="1" applyProtection="1">
      <alignment horizontal="center" vertical="center"/>
    </xf>
    <xf xxid="1832" numFmtId="169" fontId="13" fillId="0" borderId="8" xfId="0" applyAlignment="1" applyBorder="1" applyFont="1" applyNumberFormat="1" applyFill="1" applyProtection="1">
      <alignment horizontal="center" vertical="center"/>
    </xf>
    <xf xxid="1833" numFmtId="0" fontId="10" fillId="0" borderId="23" xfId="0" applyAlignment="1" applyBorder="1" applyFont="1" applyNumberFormat="1" applyFill="1" applyProtection="1">
      <alignment horizontal="center" vertical="center" textRotation="90" wrapText="1"/>
    </xf>
    <xf xxid="1834" numFmtId="0" fontId="12" fillId="0" borderId="9" xfId="0" applyAlignment="1" applyBorder="1" applyFont="1" applyNumberFormat="1" applyFill="1" applyProtection="1">
      <alignment horizontal="center" vertical="center" textRotation="90" wrapText="1"/>
    </xf>
    <xf xxid="1835" numFmtId="0" fontId="12" fillId="0" borderId="22" xfId="0" applyAlignment="1" applyBorder="1" applyFont="1" applyNumberFormat="1" applyFill="1" applyProtection="1">
      <alignment horizontal="center" vertical="center" textRotation="90" wrapText="1"/>
    </xf>
    <xf xxid="1836" numFmtId="0" fontId="12" fillId="0" borderId="10" xfId="0" applyAlignment="1" applyBorder="1" applyFont="1" applyNumberFormat="1" applyFill="1" applyProtection="1">
      <alignment horizontal="center" vertical="center" textRotation="90" wrapText="1"/>
    </xf>
    <xf xxid="1837" numFmtId="0" fontId="12" fillId="0" borderId="0" xfId="0" applyAlignment="1" applyBorder="1" applyFont="1" applyNumberFormat="1" applyFill="1" applyProtection="1">
      <alignment horizontal="center" vertical="center" textRotation="90" wrapText="1"/>
    </xf>
    <xf xxid="1838" numFmtId="0" fontId="12" fillId="0" borderId="12" xfId="0" applyAlignment="1" applyBorder="1" applyFont="1" applyNumberFormat="1" applyFill="1" applyProtection="1">
      <alignment horizontal="center" vertical="center" textRotation="90" wrapText="1"/>
    </xf>
    <xf xxid="1839" numFmtId="0" fontId="12" fillId="0" borderId="19" xfId="0" applyAlignment="1" applyBorder="1" applyFont="1" applyNumberFormat="1" applyFill="1" applyProtection="1">
      <alignment horizontal="center" vertical="center" textRotation="90" wrapText="1"/>
    </xf>
    <xf xxid="1840" numFmtId="0" fontId="12" fillId="0" borderId="8" xfId="0" applyAlignment="1" applyBorder="1" applyFont="1" applyNumberFormat="1" applyFill="1" applyProtection="1">
      <alignment horizontal="center" vertical="center" textRotation="90" wrapText="1"/>
    </xf>
    <xf xxid="1841" numFmtId="0" fontId="12" fillId="0" borderId="20" xfId="0" applyAlignment="1" applyBorder="1" applyFont="1" applyNumberFormat="1" applyFill="1" applyProtection="1">
      <alignment horizontal="center" vertical="center" textRotation="90" wrapText="1"/>
    </xf>
    <xf xxid="1842" numFmtId="0" fontId="7" fillId="0" borderId="0" xfId="0" applyAlignment="1" applyBorder="1" applyFont="1" applyNumberFormat="1" applyFill="1" applyProtection="1">
      <alignment horizontal="center" vertical="center" wrapText="1"/>
    </xf>
    <xf xxid="1843" numFmtId="0" fontId="6" fillId="0" borderId="37" xfId="0" applyAlignment="1" applyBorder="1" applyFont="1" applyNumberFormat="1" applyFill="1" applyProtection="1">
      <alignment horizontal="center" vertical="center"/>
    </xf>
    <xf xxid="1844" numFmtId="169" fontId="13" fillId="0" borderId="10" xfId="0" applyAlignment="1" applyBorder="1" applyFont="1" applyNumberFormat="1" applyFill="1" applyProtection="1">
      <alignment horizontal="center" vertical="center"/>
    </xf>
    <xf xxid="1845" numFmtId="169" fontId="13" fillId="0" borderId="0" xfId="0" applyAlignment="1" applyBorder="1" applyFont="1" applyNumberFormat="1" applyFill="1" applyProtection="1">
      <alignment horizontal="center" vertical="center"/>
    </xf>
    <xf xxid="1846" numFmtId="0" fontId="12" fillId="0" borderId="23" xfId="0" applyAlignment="1" applyBorder="1" applyFont="1" applyNumberFormat="1" applyFill="1" applyProtection="1">
      <alignment horizontal="center" vertical="center" textRotation="90"/>
    </xf>
    <xf xxid="1847" numFmtId="0" fontId="12" fillId="0" borderId="9" xfId="0" applyAlignment="1" applyBorder="1" applyFont="1" applyNumberFormat="1" applyFill="1" applyProtection="1">
      <alignment horizontal="center" vertical="center" textRotation="90"/>
    </xf>
    <xf xxid="1848" numFmtId="0" fontId="12" fillId="0" borderId="22" xfId="0" applyAlignment="1" applyBorder="1" applyFont="1" applyNumberFormat="1" applyFill="1" applyProtection="1">
      <alignment horizontal="center" vertical="center" textRotation="90"/>
    </xf>
    <xf xxid="1849" numFmtId="0" fontId="12" fillId="0" borderId="10" xfId="0" applyAlignment="1" applyBorder="1" applyFont="1" applyNumberFormat="1" applyFill="1" applyProtection="1">
      <alignment horizontal="center" vertical="center" textRotation="90"/>
    </xf>
    <xf xxid="1850" numFmtId="0" fontId="12" fillId="0" borderId="0" xfId="0" applyAlignment="1" applyBorder="1" applyFont="1" applyNumberFormat="1" applyFill="1" applyProtection="1">
      <alignment horizontal="center" vertical="center" textRotation="90"/>
    </xf>
    <xf xxid="1851" numFmtId="0" fontId="12" fillId="0" borderId="12" xfId="0" applyAlignment="1" applyBorder="1" applyFont="1" applyNumberFormat="1" applyFill="1" applyProtection="1">
      <alignment horizontal="center" vertical="center" textRotation="90"/>
    </xf>
    <xf xxid="1852" numFmtId="0" fontId="12" fillId="0" borderId="19" xfId="0" applyAlignment="1" applyBorder="1" applyFont="1" applyNumberFormat="1" applyFill="1" applyProtection="1">
      <alignment horizontal="center" vertical="center" textRotation="90"/>
    </xf>
    <xf xxid="1853" numFmtId="0" fontId="12" fillId="0" borderId="8" xfId="0" applyAlignment="1" applyBorder="1" applyFont="1" applyNumberFormat="1" applyFill="1" applyProtection="1">
      <alignment horizontal="center" vertical="center" textRotation="90"/>
    </xf>
    <xf xxid="1854" numFmtId="0" fontId="12" fillId="0" borderId="20" xfId="0" applyAlignment="1" applyBorder="1" applyFont="1" applyNumberFormat="1" applyFill="1" applyProtection="1">
      <alignment horizontal="center" vertical="center" textRotation="90"/>
    </xf>
    <xf xxid="1855" numFmtId="169" fontId="13" fillId="0" borderId="23" xfId="0" applyAlignment="1" applyBorder="1" applyFont="1" applyNumberFormat="1" applyFill="1" applyProtection="1">
      <alignment horizontal="right" vertical="center"/>
    </xf>
    <xf xxid="1856" numFmtId="169" fontId="13" fillId="0" borderId="9" xfId="0" applyAlignment="1" applyBorder="1" applyFont="1" applyNumberFormat="1" applyFill="1" applyProtection="1">
      <alignment horizontal="right" vertical="center"/>
    </xf>
    <xf xxid="1857" numFmtId="169" fontId="13" fillId="0" borderId="10" xfId="0" applyAlignment="1" applyBorder="1" applyFont="1" applyNumberFormat="1" applyFill="1" applyProtection="1">
      <alignment horizontal="right" vertical="center"/>
    </xf>
    <xf xxid="1858" numFmtId="169" fontId="13" fillId="0" borderId="0" xfId="0" applyAlignment="1" applyBorder="1" applyFont="1" applyNumberFormat="1" applyFill="1" applyProtection="1">
      <alignment horizontal="right" vertical="center"/>
    </xf>
    <xf xxid="1859" numFmtId="169" fontId="13" fillId="0" borderId="19" xfId="0" applyAlignment="1" applyBorder="1" applyFont="1" applyNumberFormat="1" applyFill="1" applyProtection="1">
      <alignment horizontal="right" vertical="center"/>
    </xf>
    <xf xxid="1860" numFmtId="169" fontId="13" fillId="0" borderId="8" xfId="0" applyAlignment="1" applyBorder="1" applyFont="1" applyNumberFormat="1" applyFill="1" applyProtection="1">
      <alignment horizontal="right" vertical="center"/>
    </xf>
    <xf xxid="1861" numFmtId="0" fontId="52" fillId="0" borderId="0" xfId="16" applyAlignment="1" applyBorder="1" applyFont="1" applyNumberFormat="1" applyFill="1" applyProtection="1">
      <alignment horizontal="left"/>
    </xf>
    <xf xxid="1862" numFmtId="0" fontId="5" fillId="0" borderId="27" xfId="0" applyAlignment="1" applyBorder="1" applyFont="1" applyNumberFormat="1" applyFill="1" applyProtection="1">
      <alignment horizontal="center" vertical="center" wrapText="1"/>
    </xf>
    <xf xxid="1863" numFmtId="0" fontId="5" fillId="0" borderId="28" xfId="0" applyAlignment="1" applyBorder="1" applyFont="1" applyNumberFormat="1" applyFill="1" applyProtection="1">
      <alignment horizontal="center" vertical="center" wrapText="1"/>
    </xf>
    <xf xxid="1864" numFmtId="0" fontId="5" fillId="0" borderId="29" xfId="0" applyAlignment="1" applyBorder="1" applyFont="1" applyNumberFormat="1" applyFill="1" applyProtection="1">
      <alignment horizontal="center" vertical="center" wrapText="1"/>
    </xf>
    <xf xxid="1865" numFmtId="0" fontId="17" fillId="0" borderId="6" xfId="0" applyAlignment="1" applyBorder="1" applyFont="1" applyNumberFormat="1" applyFill="1" applyProtection="1">
      <alignment horizontal="center" vertical="center" textRotation="90"/>
    </xf>
    <xf xxid="1866" numFmtId="0" fontId="17" fillId="0" borderId="2" xfId="0" applyAlignment="1" applyBorder="1" applyFont="1" applyNumberFormat="1" applyFill="1" applyProtection="1">
      <alignment horizontal="center" vertical="center" textRotation="90"/>
    </xf>
    <xf xxid="1867" numFmtId="0" fontId="17" fillId="0" borderId="0" xfId="0" applyAlignment="1" applyBorder="1" applyFont="1" applyNumberFormat="1" applyFill="1" applyProtection="1">
      <alignment horizontal="center" vertical="center" textRotation="90"/>
    </xf>
    <xf xxid="1868" numFmtId="0" fontId="17" fillId="0" borderId="5" xfId="0" applyAlignment="1" applyBorder="1" applyFont="1" applyNumberFormat="1" applyFill="1" applyProtection="1">
      <alignment horizontal="center" vertical="center" textRotation="90"/>
    </xf>
    <xf xxid="1869" numFmtId="0" fontId="17" fillId="0" borderId="3" xfId="0" applyAlignment="1" applyBorder="1" applyFont="1" applyNumberFormat="1" applyFill="1" applyProtection="1">
      <alignment horizontal="center" vertical="center" textRotation="90"/>
    </xf>
    <xf xxid="1870" numFmtId="0" fontId="15" fillId="8" borderId="10" xfId="0" applyAlignment="1" applyBorder="1" applyFont="1" applyNumberFormat="1" applyFill="1" applyProtection="1">
      <alignment horizontal="center"/>
    </xf>
    <xf xxid="1871" numFmtId="0" fontId="15" fillId="8" borderId="0" xfId="0" applyAlignment="1" applyBorder="1" applyFont="1" applyNumberFormat="1" applyFill="1" applyProtection="1">
      <alignment horizontal="center"/>
    </xf>
    <xf xxid="1872" numFmtId="0" fontId="15" fillId="8" borderId="12" xfId="0" applyAlignment="1" applyBorder="1" applyFont="1" applyNumberFormat="1" applyFill="1" applyProtection="1">
      <alignment horizontal="center"/>
    </xf>
    <xf xxid="1873" numFmtId="0" fontId="15" fillId="0" borderId="0" xfId="0" applyAlignment="1" applyBorder="1" applyFont="1" applyNumberFormat="1" applyFill="1" applyProtection="1">
      <alignment horizontal="center" vertical="center"/>
    </xf>
    <xf xxid="1874" numFmtId="0" fontId="12" fillId="0" borderId="23" xfId="0" applyAlignment="1" applyBorder="1" applyFont="1" applyNumberFormat="1" applyFill="1" applyProtection="1">
      <alignment horizontal="center" vertical="center" textRotation="90" wrapText="1"/>
    </xf>
    <xf xxid="1875" numFmtId="0" fontId="10" fillId="0" borderId="23" xfId="0" applyAlignment="1" applyBorder="1" applyFont="1" applyNumberFormat="1" applyFill="1" applyProtection="1">
      <alignment horizontal="center" textRotation="90"/>
    </xf>
    <xf xxid="1876" numFmtId="0" fontId="13" fillId="0" borderId="9" xfId="0" applyAlignment="1" applyBorder="1" applyFont="1" applyNumberFormat="1" applyFill="1" applyProtection="1">
      <alignment horizontal="center" textRotation="90"/>
    </xf>
    <xf xxid="1877" numFmtId="0" fontId="13" fillId="0" borderId="22" xfId="0" applyAlignment="1" applyBorder="1" applyFont="1" applyNumberFormat="1" applyFill="1" applyProtection="1">
      <alignment horizontal="center" textRotation="90"/>
    </xf>
    <xf xxid="1878" numFmtId="0" fontId="13" fillId="0" borderId="10" xfId="0" applyAlignment="1" applyBorder="1" applyFont="1" applyNumberFormat="1" applyFill="1" applyProtection="1">
      <alignment horizontal="center" textRotation="90"/>
    </xf>
    <xf xxid="1879" numFmtId="0" fontId="13" fillId="0" borderId="0" xfId="0" applyAlignment="1" applyBorder="1" applyFont="1" applyNumberFormat="1" applyFill="1" applyProtection="1">
      <alignment horizontal="center" textRotation="90"/>
    </xf>
    <xf xxid="1880" numFmtId="0" fontId="13" fillId="0" borderId="12" xfId="0" applyAlignment="1" applyBorder="1" applyFont="1" applyNumberFormat="1" applyFill="1" applyProtection="1">
      <alignment horizontal="center" textRotation="90"/>
    </xf>
    <xf xxid="1881" numFmtId="0" fontId="13" fillId="0" borderId="19" xfId="0" applyAlignment="1" applyBorder="1" applyFont="1" applyNumberFormat="1" applyFill="1" applyProtection="1">
      <alignment horizontal="center" textRotation="90"/>
    </xf>
    <xf xxid="1882" numFmtId="0" fontId="13" fillId="0" borderId="8" xfId="0" applyAlignment="1" applyBorder="1" applyFont="1" applyNumberFormat="1" applyFill="1" applyProtection="1">
      <alignment horizontal="center" textRotation="90"/>
    </xf>
    <xf xxid="1883" numFmtId="0" fontId="13" fillId="0" borderId="20" xfId="0" applyAlignment="1" applyBorder="1" applyFont="1" applyNumberFormat="1" applyFill="1" applyProtection="1">
      <alignment horizontal="center" textRotation="90"/>
    </xf>
    <xf xxid="1884" numFmtId="0" fontId="52" fillId="0" borderId="0" xfId="16" applyAlignment="1" applyBorder="1" applyFont="1" applyNumberFormat="1" applyFill="1" applyProtection="1">
      <alignment horizontal="left" vertical="top" wrapText="1"/>
    </xf>
    <xf xxid="1885" numFmtId="0" fontId="6" fillId="0" borderId="0" xfId="16" applyAlignment="1" applyBorder="1" applyFont="1" applyNumberFormat="1" applyFill="1" applyProtection="1">
      <alignment horizontal="left" vertical="top" wrapText="1"/>
    </xf>
    <xf xxid="1886" numFmtId="0" fontId="6" fillId="0" borderId="12" xfId="16" applyAlignment="1" applyBorder="1" applyFont="1" applyNumberFormat="1" applyFill="1" applyProtection="1">
      <alignment horizontal="left" vertical="top" wrapText="1"/>
    </xf>
    <xf xxid="1887" numFmtId="0" fontId="52" fillId="0" borderId="131" xfId="0" applyAlignment="1" applyBorder="1" applyFont="1" applyNumberFormat="1" applyFill="1" applyProtection="1">
      <alignment horizontal="left" wrapText="1"/>
    </xf>
    <xf xxid="1888" numFmtId="0" fontId="6" fillId="0" borderId="94" xfId="0" applyAlignment="1" applyBorder="1" applyFont="1" applyNumberFormat="1" applyFill="1" applyProtection="1">
      <alignment horizontal="left" wrapText="1"/>
    </xf>
    <xf xxid="1889" numFmtId="0" fontId="6" fillId="0" borderId="0" xfId="0" applyAlignment="1" applyBorder="1" applyFont="1" applyNumberFormat="1" applyFill="1" applyProtection="1">
      <alignment horizontal="left" vertical="center"/>
    </xf>
    <xf xxid="1890" numFmtId="0" fontId="2" fillId="0" borderId="21" xfId="0" applyAlignment="1" applyBorder="1" applyFont="1" applyNumberFormat="1" applyFill="1" applyProtection="1">
      <alignment horizontal="center" vertical="center"/>
    </xf>
    <xf xxid="1891" numFmtId="0" fontId="2" fillId="0" borderId="30" xfId="0" applyAlignment="1" applyBorder="1" applyFont="1" applyNumberFormat="1" applyFill="1" applyProtection="1">
      <alignment horizontal="center" vertical="center"/>
    </xf>
    <xf xxid="1892" numFmtId="0" fontId="3" fillId="0" borderId="23" xfId="16" applyAlignment="1" applyBorder="1" applyFont="1" applyNumberFormat="1" applyFill="1" applyProtection="1">
      <alignment horizontal="left" vertical="center"/>
    </xf>
    <xf xxid="1893" numFmtId="0" fontId="3" fillId="0" borderId="9" xfId="16" applyAlignment="1" applyBorder="1" applyFont="1" applyNumberFormat="1" applyFill="1" applyProtection="1">
      <alignment horizontal="left" vertical="center"/>
    </xf>
    <xf xxid="1894" numFmtId="0" fontId="3" fillId="0" borderId="22" xfId="16" applyAlignment="1" applyBorder="1" applyFont="1" applyNumberFormat="1" applyFill="1" applyProtection="1">
      <alignment horizontal="left" vertical="center"/>
    </xf>
    <xf xxid="1895" numFmtId="0" fontId="3" fillId="0" borderId="19" xfId="16" applyAlignment="1" applyBorder="1" applyFont="1" applyNumberFormat="1" applyFill="1" applyProtection="1">
      <alignment horizontal="left" vertical="center"/>
    </xf>
    <xf xxid="1896" numFmtId="0" fontId="3" fillId="0" borderId="8" xfId="16" applyAlignment="1" applyBorder="1" applyFont="1" applyNumberFormat="1" applyFill="1" applyProtection="1">
      <alignment horizontal="left" vertical="center"/>
    </xf>
    <xf xxid="1897" numFmtId="0" fontId="3" fillId="0" borderId="20" xfId="16" applyAlignment="1" applyBorder="1" applyFont="1" applyNumberFormat="1" applyFill="1" applyProtection="1">
      <alignment horizontal="left" vertical="center"/>
    </xf>
    <xf xxid="1898" numFmtId="169" fontId="17" fillId="0" borderId="23" xfId="0" applyAlignment="1" applyBorder="1" applyFont="1" applyNumberFormat="1" applyFill="1" applyProtection="1">
      <alignment horizontal="center" vertical="center"/>
    </xf>
    <xf xxid="1899" numFmtId="169" fontId="17" fillId="0" borderId="9" xfId="0" applyAlignment="1" applyBorder="1" applyFont="1" applyNumberFormat="1" applyFill="1" applyProtection="1">
      <alignment horizontal="center" vertical="center"/>
    </xf>
    <xf xxid="1900" numFmtId="169" fontId="17" fillId="0" borderId="8" xfId="0" applyAlignment="1" applyBorder="1" applyFont="1" applyNumberFormat="1" applyFill="1" applyProtection="1">
      <alignment horizontal="center" vertical="center"/>
    </xf>
    <xf xxid="1901" numFmtId="0" fontId="3" fillId="0" borderId="10" xfId="16" applyAlignment="1" applyBorder="1" applyFont="1" applyNumberFormat="1" applyFill="1" applyProtection="1">
      <alignment horizontal="left" vertical="center"/>
    </xf>
    <xf xxid="1902" numFmtId="49" fontId="25" fillId="0" borderId="7" xfId="0" applyAlignment="1" applyBorder="1" applyFont="1" applyNumberFormat="1" applyFill="1" applyProtection="1">
      <alignment horizontal="center" vertical="distributed"/>
    </xf>
    <xf xxid="1903" numFmtId="0" fontId="25" fillId="0" borderId="7" xfId="0" applyAlignment="1" applyBorder="1" applyFont="1" applyNumberFormat="1" applyFill="1" applyProtection="1">
      <alignment horizontal="center" vertical="distributed"/>
    </xf>
    <xf xxid="1904" numFmtId="0" fontId="5" fillId="0" borderId="0" xfId="0" applyAlignment="1" applyBorder="1" applyFont="1" applyNumberFormat="1" applyFill="1" applyProtection="1">
      <alignment horizontal="center" vertical="center"/>
    </xf>
    <xf xxid="1905" numFmtId="0" fontId="5" fillId="0" borderId="5" xfId="0" applyAlignment="1" applyBorder="1" applyFont="1" applyNumberFormat="1" applyFill="1" applyProtection="1">
      <alignment horizontal="center" vertical="center"/>
    </xf>
    <xf xxid="1906" numFmtId="0" fontId="2" fillId="0" borderId="23" xfId="16" applyAlignment="1" applyBorder="1" applyFont="1" applyNumberFormat="1" applyFill="1" applyProtection="1">
      <alignment horizontal="center" vertical="center"/>
    </xf>
    <xf xxid="1907" numFmtId="0" fontId="2" fillId="0" borderId="10" xfId="16" applyAlignment="1" applyBorder="1" applyFont="1" applyNumberFormat="1" applyFill="1" applyProtection="1">
      <alignment horizontal="center" vertical="center"/>
    </xf>
    <xf xxid="1908" numFmtId="0" fontId="3" fillId="0" borderId="23" xfId="16" applyAlignment="1" applyBorder="1" applyFont="1" applyNumberFormat="1" applyFill="1" applyProtection="1">
      <alignment horizontal="center" vertical="center"/>
    </xf>
    <xf xxid="1909" numFmtId="0" fontId="3" fillId="0" borderId="22" xfId="16" applyAlignment="1" applyBorder="1" applyFont="1" applyNumberFormat="1" applyFill="1" applyProtection="1">
      <alignment horizontal="center" vertical="center"/>
    </xf>
    <xf xxid="1910" numFmtId="0" fontId="3" fillId="0" borderId="12" xfId="16" applyAlignment="1" applyBorder="1" applyFont="1" applyNumberFormat="1" applyFill="1" applyProtection="1">
      <alignment horizontal="center" vertical="center"/>
    </xf>
    <xf xxid="1911" numFmtId="0" fontId="13" fillId="0" borderId="4" xfId="0" applyAlignment="1" applyBorder="1" applyFont="1" applyNumberFormat="1" applyFill="1" applyProtection="1">
      <alignment horizontal="center"/>
    </xf>
    <xf xxid="1912" numFmtId="0" fontId="13" fillId="0" borderId="5" xfId="0" applyAlignment="1" applyBorder="1" applyFont="1" applyNumberFormat="1" applyFill="1" applyProtection="1">
      <alignment horizontal="center"/>
    </xf>
    <xf xxid="1913" numFmtId="0" fontId="17" fillId="0" borderId="4" xfId="0" applyAlignment="1" applyBorder="1" applyFont="1" applyNumberFormat="1" applyFill="1" applyProtection="1">
      <alignment horizontal="center" vertical="center" textRotation="90"/>
    </xf>
    <xf xxid="1914" numFmtId="0" fontId="17" fillId="0" borderId="14" xfId="0" applyAlignment="1" applyBorder="1" applyFont="1" applyNumberFormat="1" applyFill="1" applyProtection="1">
      <alignment horizontal="center" vertical="center" textRotation="90"/>
    </xf>
    <xf xxid="1915" numFmtId="0" fontId="19" fillId="0" borderId="14" xfId="0" applyAlignment="1" applyBorder="1" applyFont="1" applyNumberFormat="1" applyFill="1" applyProtection="1">
      <alignment horizontal="center" vertical="center"/>
    </xf>
    <xf xxid="1916" numFmtId="0" fontId="19" fillId="0" borderId="1" xfId="0" applyAlignment="1" applyBorder="1" applyFont="1" applyNumberFormat="1" applyFill="1" applyProtection="1">
      <alignment horizontal="center" vertical="center"/>
    </xf>
    <xf xxid="1917" numFmtId="0" fontId="19" fillId="0" borderId="3" xfId="0" applyAlignment="1" applyBorder="1" applyFont="1" applyNumberFormat="1" applyFill="1" applyProtection="1">
      <alignment horizontal="center" vertical="center"/>
    </xf>
    <xf xxid="1918" numFmtId="1" fontId="25" fillId="0" borderId="7" xfId="0" applyAlignment="1" applyBorder="1" applyFont="1" applyNumberFormat="1" applyFill="1" applyProtection="1">
      <alignment horizontal="center" vertical="distributed"/>
    </xf>
    <xf xxid="1919" numFmtId="0" fontId="57" fillId="0" borderId="23" xfId="16" applyAlignment="1" applyBorder="1" applyFont="1" applyNumberFormat="1" applyFill="1" applyProtection="1">
      <alignment horizontal="left" vertical="center"/>
    </xf>
    <xf xxid="1920" numFmtId="0" fontId="3" fillId="0" borderId="31" xfId="16" applyAlignment="1" applyBorder="1" applyFont="1" applyNumberFormat="1" applyFill="1" applyProtection="1">
      <alignment horizontal="left" vertical="center"/>
    </xf>
    <xf xxid="1921" numFmtId="169" fontId="17" fillId="0" borderId="33" xfId="0" applyAlignment="1" applyBorder="1" applyFont="1" applyNumberFormat="1" applyFill="1" applyProtection="1">
      <alignment horizontal="center" vertical="center"/>
    </xf>
    <xf xxid="1922" numFmtId="169" fontId="17" fillId="0" borderId="34" xfId="0" applyAlignment="1" applyBorder="1" applyFont="1" applyNumberFormat="1" applyFill="1" applyProtection="1">
      <alignment horizontal="center" vertical="center"/>
    </xf>
    <xf xxid="1923" numFmtId="0" fontId="57" fillId="0" borderId="10" xfId="16" applyAlignment="1" applyBorder="1" applyFont="1" applyNumberFormat="1" applyFill="1" applyProtection="1">
      <alignment horizontal="left" vertical="center"/>
    </xf>
    <xf xxid="1924" numFmtId="0" fontId="3" fillId="0" borderId="22" xfId="0" applyAlignment="1" applyBorder="1" applyFont="1" applyNumberFormat="1" applyFill="1" applyProtection="1">
      <alignment horizontal="center" vertical="center"/>
    </xf>
    <xf xxid="1925" numFmtId="0" fontId="3" fillId="0" borderId="20" xfId="0" applyAlignment="1" applyBorder="1" applyFont="1" applyNumberFormat="1" applyFill="1" applyProtection="1">
      <alignment horizontal="center" vertical="center"/>
    </xf>
    <xf xxid="1926" numFmtId="0" fontId="3" fillId="0" borderId="19" xfId="16" applyAlignment="1" applyBorder="1" applyFont="1" applyNumberFormat="1" applyFill="1" applyProtection="1">
      <alignment horizontal="center" vertical="center"/>
    </xf>
    <xf xxid="1927" numFmtId="0" fontId="3" fillId="0" borderId="8" xfId="16" applyAlignment="1" applyBorder="1" applyFont="1" applyNumberFormat="1" applyFill="1" applyProtection="1">
      <alignment horizontal="center" vertical="center"/>
    </xf>
    <xf xxid="1928" numFmtId="0" fontId="3" fillId="0" borderId="20" xfId="16" applyAlignment="1" applyBorder="1" applyFont="1" applyNumberFormat="1" applyFill="1" applyProtection="1">
      <alignment horizontal="center" vertical="center"/>
    </xf>
    <xf xxid="1929" numFmtId="0" fontId="3" fillId="0" borderId="16" xfId="0" applyAlignment="1" applyBorder="1" applyFont="1" applyNumberFormat="1" applyFill="1" applyProtection="1">
      <alignment horizontal="center" vertical="center"/>
    </xf>
    <xf xxid="1930" numFmtId="0" fontId="3" fillId="0" borderId="8" xfId="0" applyAlignment="1" applyBorder="1" applyFont="1" applyNumberFormat="1" applyFill="1" applyProtection="1">
      <alignment horizontal="center" vertical="center"/>
    </xf>
    <xf xxid="1931" numFmtId="0" fontId="57" fillId="0" borderId="0" xfId="16" applyAlignment="1" applyBorder="1" applyFont="1" applyNumberFormat="1" applyFill="1" applyProtection="1">
      <alignment horizontal="center" vertical="center"/>
    </xf>
    <xf xxid="1932" numFmtId="0" fontId="3" fillId="0" borderId="24" xfId="16" applyAlignment="1" applyBorder="1" applyFont="1" applyNumberFormat="1" applyFill="1" applyProtection="1">
      <alignment horizontal="center"/>
    </xf>
    <xf xxid="1933" numFmtId="0" fontId="3" fillId="0" borderId="21" xfId="16" applyAlignment="1" applyBorder="1" applyFont="1" applyNumberFormat="1" applyFill="1" applyProtection="1">
      <alignment horizontal="center"/>
    </xf>
    <xf xxid="1934" numFmtId="0" fontId="3" fillId="0" borderId="30" xfId="16" applyAlignment="1" applyBorder="1" applyFont="1" applyNumberFormat="1" applyFill="1" applyProtection="1">
      <alignment horizontal="center"/>
    </xf>
    <xf xxid="1935" numFmtId="0" fontId="20" fillId="0" borderId="10" xfId="16" applyAlignment="1" applyBorder="1" applyFont="1" applyNumberFormat="1" applyFill="1" applyProtection="1">
      <alignment horizontal="center"/>
    </xf>
    <xf xxid="1936" numFmtId="0" fontId="20" fillId="0" borderId="0" xfId="16" applyAlignment="1" applyBorder="1" applyFont="1" applyNumberFormat="1" applyFill="1" applyProtection="1">
      <alignment horizontal="center"/>
    </xf>
    <xf xxid="1937" numFmtId="0" fontId="20" fillId="0" borderId="12" xfId="16" applyAlignment="1" applyBorder="1" applyFont="1" applyNumberFormat="1" applyFill="1" applyProtection="1">
      <alignment horizontal="center"/>
    </xf>
    <xf xxid="1938" numFmtId="0" fontId="2" fillId="0" borderId="23" xfId="0" applyAlignment="1" applyBorder="1" applyFont="1" applyNumberFormat="1" applyFill="1" applyProtection="1">
      <alignment horizontal="center" vertical="center"/>
    </xf>
    <xf xxid="1939" numFmtId="0" fontId="2" fillId="0" borderId="9" xfId="0" applyAlignment="1" applyBorder="1" applyFont="1" applyNumberFormat="1" applyFill="1" applyProtection="1">
      <alignment horizontal="center" vertical="center"/>
    </xf>
    <xf xxid="1940" numFmtId="0" fontId="2" fillId="0" borderId="22" xfId="0" applyAlignment="1" applyBorder="1" applyFont="1" applyNumberFormat="1" applyFill="1" applyProtection="1">
      <alignment horizontal="center" vertical="center"/>
    </xf>
    <xf xxid="1941" numFmtId="0" fontId="2" fillId="0" borderId="8" xfId="0" applyAlignment="1" applyBorder="1" applyFont="1" applyNumberFormat="1" applyFill="1" applyProtection="1">
      <alignment horizontal="center" vertical="center"/>
    </xf>
    <xf xxid="1942" numFmtId="0" fontId="2" fillId="0" borderId="20" xfId="0" applyAlignment="1" applyBorder="1" applyFont="1" applyNumberFormat="1" applyFill="1" applyProtection="1">
      <alignment horizontal="center" vertical="center"/>
    </xf>
    <xf xxid="1943" numFmtId="169" fontId="3" fillId="0" borderId="9" xfId="0" applyAlignment="1" applyBorder="1" applyFont="1" applyNumberFormat="1" applyFill="1" applyProtection="1">
      <alignment horizontal="right" vertical="center"/>
    </xf>
    <xf xxid="1944" numFmtId="0" fontId="57" fillId="0" borderId="23" xfId="16" applyAlignment="1" applyBorder="1" applyFont="1" applyNumberFormat="1" applyFill="1" applyProtection="1">
      <alignment horizontal="center"/>
    </xf>
    <xf xxid="1945" numFmtId="0" fontId="3" fillId="0" borderId="22" xfId="16" applyAlignment="1" applyBorder="1" applyFont="1" applyNumberFormat="1" applyFill="1" applyProtection="1">
      <alignment horizontal="center"/>
    </xf>
    <xf xxid="1946" numFmtId="0" fontId="3" fillId="0" borderId="23" xfId="16" applyAlignment="1" applyBorder="1" applyFont="1" applyNumberFormat="1" applyFill="1" applyProtection="1">
      <alignment horizontal="center"/>
    </xf>
    <xf xxid="1947" numFmtId="0" fontId="57" fillId="0" borderId="10" xfId="16" applyAlignment="1" applyBorder="1" applyFont="1" applyNumberFormat="1" applyFill="1" applyProtection="1">
      <alignment horizontal="center" vertical="center"/>
    </xf>
    <xf xxid="1948" numFmtId="0" fontId="3" fillId="0" borderId="15" xfId="0" applyAlignment="1" applyBorder="1" applyFont="1" applyNumberFormat="1" applyFill="1" applyProtection="1">
      <alignment horizontal="center" vertical="center" wrapText="1"/>
    </xf>
    <xf xxid="1949" numFmtId="0" fontId="3" fillId="0" borderId="16" xfId="0" applyAlignment="1" applyBorder="1" applyFont="1" applyNumberFormat="1" applyFill="1" applyProtection="1">
      <alignment horizontal="center" vertical="center" wrapText="1"/>
    </xf>
    <xf xxid="1950" numFmtId="167" fontId="17" fillId="0" borderId="19" xfId="0" applyAlignment="1" applyBorder="1" applyFont="1" applyNumberFormat="1" applyFill="1" applyProtection="1">
      <alignment horizontal="center" vertical="center" wrapText="1"/>
    </xf>
    <xf xxid="1951" numFmtId="167" fontId="17" fillId="0" borderId="8" xfId="0" applyAlignment="1" applyBorder="1" applyFont="1" applyNumberFormat="1" applyFill="1" applyProtection="1">
      <alignment horizontal="center" vertical="center" wrapText="1"/>
    </xf>
    <xf xxid="1952" numFmtId="167" fontId="17" fillId="0" borderId="20" xfId="0" applyAlignment="1" applyBorder="1" applyFont="1" applyNumberFormat="1" applyFill="1" applyProtection="1">
      <alignment horizontal="center" vertical="center" wrapText="1"/>
    </xf>
    <xf xxid="1953" numFmtId="167" fontId="36" fillId="0" borderId="23" xfId="0" applyAlignment="1" applyBorder="1" applyFont="1" applyNumberFormat="1" applyFill="1" applyProtection="1">
      <alignment horizontal="center" vertical="center" wrapText="1"/>
    </xf>
    <xf xxid="1954" numFmtId="167" fontId="36" fillId="0" borderId="22" xfId="0" applyAlignment="1" applyBorder="1" applyFont="1" applyNumberFormat="1" applyFill="1" applyProtection="1">
      <alignment horizontal="center" vertical="center" wrapText="1"/>
    </xf>
    <xf xxid="1955" numFmtId="167" fontId="36" fillId="0" borderId="19" xfId="0" applyAlignment="1" applyBorder="1" applyFont="1" applyNumberFormat="1" applyFill="1" applyProtection="1">
      <alignment horizontal="center" vertical="center" wrapText="1"/>
    </xf>
    <xf xxid="1956" numFmtId="167" fontId="36" fillId="0" borderId="8" xfId="0" applyAlignment="1" applyBorder="1" applyFont="1" applyNumberFormat="1" applyFill="1" applyProtection="1">
      <alignment horizontal="center" vertical="center" wrapText="1"/>
    </xf>
    <xf xxid="1957" numFmtId="167" fontId="36" fillId="0" borderId="20" xfId="0" applyAlignment="1" applyBorder="1" applyFont="1" applyNumberFormat="1" applyFill="1" applyProtection="1">
      <alignment horizontal="center" vertical="center" wrapText="1"/>
    </xf>
    <xf xxid="1958" numFmtId="173" fontId="17" fillId="0" borderId="23" xfId="0" applyAlignment="1" applyBorder="1" applyFont="1" applyNumberFormat="1" applyFill="1" applyProtection="1">
      <alignment horizontal="center" vertical="center" wrapText="1"/>
    </xf>
    <xf xxid="1959" numFmtId="173" fontId="17" fillId="0" borderId="9" xfId="0" applyAlignment="1" applyBorder="1" applyFont="1" applyNumberFormat="1" applyFill="1" applyProtection="1">
      <alignment horizontal="center" vertical="center" wrapText="1"/>
    </xf>
    <xf xxid="1960" numFmtId="173" fontId="17" fillId="0" borderId="22" xfId="0" applyAlignment="1" applyBorder="1" applyFont="1" applyNumberFormat="1" applyFill="1" applyProtection="1">
      <alignment horizontal="center" vertical="center" wrapText="1"/>
    </xf>
    <xf xxid="1961" numFmtId="173" fontId="17" fillId="0" borderId="19" xfId="0" applyAlignment="1" applyBorder="1" applyFont="1" applyNumberFormat="1" applyFill="1" applyProtection="1">
      <alignment horizontal="center" vertical="center" wrapText="1"/>
    </xf>
    <xf xxid="1962" numFmtId="173" fontId="17" fillId="0" borderId="8" xfId="0" applyAlignment="1" applyBorder="1" applyFont="1" applyNumberFormat="1" applyFill="1" applyProtection="1">
      <alignment horizontal="center" vertical="center" wrapText="1"/>
    </xf>
    <xf xxid="1963" numFmtId="173" fontId="17" fillId="0" borderId="20" xfId="0" applyAlignment="1" applyBorder="1" applyFont="1" applyNumberFormat="1" applyFill="1" applyProtection="1">
      <alignment horizontal="center" vertical="center" wrapText="1"/>
    </xf>
    <xf xxid="1964" numFmtId="0" fontId="17" fillId="0" borderId="19" xfId="0" applyAlignment="1" applyBorder="1" applyFont="1" applyNumberFormat="1" applyFill="1" applyProtection="1">
      <alignment horizontal="center" vertical="center"/>
    </xf>
    <xf xxid="1965" numFmtId="0" fontId="17" fillId="0" borderId="8" xfId="0" applyAlignment="1" applyBorder="1" applyFont="1" applyNumberFormat="1" applyFill="1" applyProtection="1">
      <alignment horizontal="center" vertical="center"/>
    </xf>
    <xf xxid="1966" numFmtId="0" fontId="17" fillId="0" borderId="20" xfId="0" applyAlignment="1" applyBorder="1" applyFont="1" applyNumberFormat="1" applyFill="1" applyProtection="1">
      <alignment horizontal="center" vertical="center"/>
    </xf>
    <xf xxid="1967" numFmtId="167" fontId="36" fillId="0" borderId="10" xfId="0" applyAlignment="1" applyBorder="1" applyFont="1" applyNumberFormat="1" applyFill="1" applyProtection="1">
      <alignment horizontal="center" vertical="center" wrapText="1"/>
    </xf>
    <xf xxid="1968" numFmtId="167" fontId="36" fillId="0" borderId="12" xfId="0" applyAlignment="1" applyBorder="1" applyFont="1" applyNumberFormat="1" applyFill="1" applyProtection="1">
      <alignment horizontal="center" vertical="center" wrapText="1"/>
    </xf>
    <xf xxid="1969" numFmtId="173" fontId="17" fillId="0" borderId="10" xfId="0" applyAlignment="1" applyBorder="1" applyFont="1" applyNumberFormat="1" applyFill="1" applyProtection="1">
      <alignment horizontal="center" vertical="center" wrapText="1"/>
    </xf>
    <xf xxid="1970" numFmtId="173" fontId="17" fillId="0" borderId="0" xfId="0" applyAlignment="1" applyBorder="1" applyFont="1" applyNumberFormat="1" applyFill="1" applyProtection="1">
      <alignment horizontal="center" vertical="center" wrapText="1"/>
    </xf>
    <xf xxid="1971" numFmtId="173" fontId="17" fillId="0" borderId="12" xfId="0" applyAlignment="1" applyBorder="1" applyFont="1" applyNumberFormat="1" applyFill="1" applyProtection="1">
      <alignment horizontal="center" vertical="center" wrapText="1"/>
    </xf>
    <xf xxid="1972" numFmtId="169" fontId="17" fillId="0" borderId="12" xfId="0" applyAlignment="1" applyBorder="1" applyFont="1" applyNumberFormat="1" applyFill="1" applyProtection="1">
      <alignment horizontal="center" vertical="center"/>
    </xf>
    <xf xxid="1973" numFmtId="169" fontId="17" fillId="0" borderId="20" xfId="0" applyAlignment="1" applyBorder="1" applyFont="1" applyNumberFormat="1" applyFill="1" applyProtection="1">
      <alignment horizontal="center" vertical="center"/>
    </xf>
    <xf xxid="1974" numFmtId="0" fontId="2" fillId="0" borderId="19" xfId="16" applyAlignment="1" applyBorder="1" applyFont="1" applyNumberFormat="1" applyFill="1" applyProtection="1">
      <alignment horizontal="center"/>
    </xf>
    <xf xxid="1975" numFmtId="0" fontId="2" fillId="0" borderId="8" xfId="16" applyAlignment="1" applyBorder="1" applyFont="1" applyNumberFormat="1" applyFill="1" applyProtection="1">
      <alignment horizontal="center"/>
    </xf>
    <xf xxid="1976" numFmtId="0" fontId="2" fillId="0" borderId="20" xfId="16" applyAlignment="1" applyBorder="1" applyFont="1" applyNumberFormat="1" applyFill="1" applyProtection="1">
      <alignment horizontal="center"/>
    </xf>
    <xf xxid="1977" numFmtId="0" fontId="2" fillId="0" borderId="0" xfId="16" applyAlignment="1" applyBorder="1" applyFont="1" applyNumberFormat="1" applyFill="1" applyProtection="1">
      <alignment horizontal="center" vertical="center"/>
    </xf>
    <xf xxid="1978" numFmtId="0" fontId="2" fillId="0" borderId="12" xfId="16" applyAlignment="1" applyBorder="1" applyFont="1" applyNumberFormat="1" applyFill="1" applyProtection="1">
      <alignment horizontal="center" vertical="center"/>
    </xf>
    <xf xxid="1979" numFmtId="0" fontId="16" fillId="0" borderId="7" xfId="0" applyAlignment="1" applyBorder="1" applyFont="1" applyNumberFormat="1" applyFill="1" applyProtection="1">
      <alignment horizontal="center" vertical="center"/>
    </xf>
    <xf xxid="1980" numFmtId="0" fontId="17" fillId="0" borderId="4" xfId="16" applyAlignment="1" applyBorder="1" applyFont="1" applyNumberFormat="1" applyFill="1" applyProtection="1">
      <alignment horizontal="center" vertical="center"/>
    </xf>
    <xf xxid="1981" numFmtId="0" fontId="17" fillId="0" borderId="5" xfId="16" applyAlignment="1" applyBorder="1" applyFont="1" applyNumberFormat="1" applyFill="1" applyProtection="1">
      <alignment horizontal="center" vertical="center"/>
    </xf>
    <xf xxid="1982" numFmtId="0" fontId="52" fillId="0" borderId="6" xfId="16" applyAlignment="1" applyBorder="1" applyFont="1" applyNumberFormat="1" applyFill="1" applyProtection="1">
      <alignment horizontal="left" vertical="center" wrapText="1"/>
    </xf>
    <xf xxid="1983" numFmtId="0" fontId="6" fillId="0" borderId="6" xfId="16" applyAlignment="1" applyBorder="1" applyFont="1" applyNumberFormat="1" applyFill="1" applyProtection="1">
      <alignment horizontal="left" vertical="center" wrapText="1"/>
    </xf>
    <xf xxid="1984" numFmtId="0" fontId="5" fillId="0" borderId="1" xfId="0" applyAlignment="1" applyBorder="1" applyFont="1" applyNumberFormat="1" applyFill="1" applyProtection="1">
      <alignment horizontal="center" vertical="center" textRotation="90"/>
    </xf>
    <xf xxid="1985" numFmtId="0" fontId="25" fillId="0" borderId="5" xfId="0" applyAlignment="1" applyBorder="1" applyFont="1" applyNumberFormat="1" applyFill="1" applyProtection="1">
      <alignment horizontal="center" vertical="center"/>
    </xf>
    <xf xxid="1986" numFmtId="0" fontId="13" fillId="0" borderId="4" xfId="16" applyAlignment="1" applyBorder="1" applyFont="1" applyNumberFormat="1" applyFill="1" applyProtection="1">
      <alignment horizontal="center"/>
    </xf>
    <xf xxid="1987" numFmtId="0" fontId="13" fillId="0" borderId="0" xfId="16" applyAlignment="1" applyBorder="1" applyFont="1" applyNumberFormat="1" applyFill="1" applyProtection="1">
      <alignment horizontal="center"/>
    </xf>
    <xf xxid="1988" numFmtId="0" fontId="13" fillId="0" borderId="5" xfId="16" applyAlignment="1" applyBorder="1" applyFont="1" applyNumberFormat="1" applyFill="1" applyProtection="1">
      <alignment horizontal="center"/>
    </xf>
    <xf xxid="1989" numFmtId="0" fontId="3" fillId="0" borderId="10" xfId="16" applyAlignment="1" applyBorder="1" applyFont="1" applyNumberFormat="1" applyFill="1" applyProtection="1">
      <alignment horizontal="left" vertical="center" wrapText="1"/>
    </xf>
    <xf xxid="1990" numFmtId="0" fontId="3" fillId="0" borderId="0" xfId="16" applyAlignment="1" applyBorder="1" applyFont="1" applyNumberFormat="1" applyFill="1" applyProtection="1">
      <alignment horizontal="left" vertical="center" wrapText="1"/>
    </xf>
    <xf xxid="1991" numFmtId="0" fontId="3" fillId="0" borderId="12" xfId="16" applyAlignment="1" applyBorder="1" applyFont="1" applyNumberFormat="1" applyFill="1" applyProtection="1">
      <alignment horizontal="left" vertical="center" wrapText="1"/>
    </xf>
    <xf xxid="1992" numFmtId="0" fontId="3" fillId="0" borderId="19" xfId="16" applyAlignment="1" applyBorder="1" applyFont="1" applyNumberFormat="1" applyFill="1" applyProtection="1">
      <alignment horizontal="left" vertical="center" wrapText="1"/>
    </xf>
    <xf xxid="1993" numFmtId="0" fontId="3" fillId="0" borderId="8" xfId="16" applyAlignment="1" applyBorder="1" applyFont="1" applyNumberFormat="1" applyFill="1" applyProtection="1">
      <alignment horizontal="left" vertical="center" wrapText="1"/>
    </xf>
    <xf xxid="1994" numFmtId="0" fontId="3" fillId="0" borderId="20" xfId="16" applyAlignment="1" applyBorder="1" applyFont="1" applyNumberFormat="1" applyFill="1" applyProtection="1">
      <alignment horizontal="left" vertical="center" wrapText="1"/>
    </xf>
    <xf xxid="1995" numFmtId="169" fontId="17" fillId="0" borderId="19" xfId="16" applyAlignment="1" applyBorder="1" applyFont="1" applyNumberFormat="1" applyFill="1" applyProtection="1">
      <alignment horizontal="center" vertical="center"/>
    </xf>
    <xf xxid="1996" numFmtId="169" fontId="17" fillId="0" borderId="8" xfId="16" applyAlignment="1" applyBorder="1" applyFont="1" applyNumberFormat="1" applyFill="1" applyProtection="1">
      <alignment horizontal="center" vertical="center"/>
    </xf>
    <xf xxid="1997" numFmtId="169" fontId="17" fillId="0" borderId="23" xfId="16" applyAlignment="1" applyBorder="1" applyFont="1" applyNumberFormat="1" applyFill="1" applyProtection="1">
      <alignment horizontal="center" vertical="center"/>
    </xf>
    <xf xxid="1998" numFmtId="169" fontId="17" fillId="0" borderId="9" xfId="16" applyAlignment="1" applyBorder="1" applyFont="1" applyNumberFormat="1" applyFill="1" applyProtection="1">
      <alignment horizontal="center" vertical="center"/>
    </xf>
    <xf xxid="1999" numFmtId="0" fontId="57" fillId="0" borderId="23" xfId="16" applyAlignment="1" applyBorder="1" applyFont="1" applyNumberFormat="1" applyFill="1" applyProtection="1">
      <alignment horizontal="left" vertical="center" wrapText="1"/>
    </xf>
    <xf xxid="2000" numFmtId="0" fontId="3" fillId="0" borderId="9" xfId="16" applyAlignment="1" applyBorder="1" applyFont="1" applyNumberFormat="1" applyFill="1" applyProtection="1">
      <alignment horizontal="left" vertical="center" wrapText="1"/>
    </xf>
    <xf xxid="2001" numFmtId="0" fontId="3" fillId="0" borderId="22" xfId="16" applyAlignment="1" applyBorder="1" applyFont="1" applyNumberFormat="1" applyFill="1" applyProtection="1">
      <alignment horizontal="left" vertical="center" wrapText="1"/>
    </xf>
    <xf xxid="2002" numFmtId="176" fontId="17" fillId="0" borderId="10" xfId="16" applyAlignment="1" applyBorder="1" applyFont="1" applyNumberFormat="1" applyFill="1" applyProtection="1">
      <alignment horizontal="center" vertical="center"/>
    </xf>
    <xf xxid="2003" numFmtId="176" fontId="17" fillId="0" borderId="0" xfId="16" applyAlignment="1" applyBorder="1" applyFont="1" applyNumberFormat="1" applyFill="1" applyProtection="1">
      <alignment horizontal="center" vertical="center"/>
    </xf>
    <xf xxid="2004" numFmtId="0" fontId="57" fillId="0" borderId="10" xfId="16" applyAlignment="1" applyBorder="1" applyFont="1" applyNumberFormat="1" applyFill="1" applyProtection="1">
      <alignment vertical="center" wrapText="1"/>
    </xf>
    <xf xxid="2005" numFmtId="0" fontId="3" fillId="0" borderId="0" xfId="16" applyAlignment="1" applyBorder="1" applyFont="1" applyNumberFormat="1" applyFill="1" applyProtection="1">
      <alignment vertical="center" wrapText="1"/>
    </xf>
    <xf xxid="2006" numFmtId="0" fontId="3" fillId="0" borderId="12" xfId="16" applyAlignment="1" applyBorder="1" applyFont="1" applyNumberFormat="1" applyFill="1" applyProtection="1">
      <alignment vertical="center" wrapText="1"/>
    </xf>
    <xf xxid="2007" numFmtId="0" fontId="3" fillId="0" borderId="19" xfId="16" applyAlignment="1" applyBorder="1" applyFont="1" applyNumberFormat="1" applyFill="1" applyProtection="1">
      <alignment vertical="center" wrapText="1"/>
    </xf>
    <xf xxid="2008" numFmtId="0" fontId="3" fillId="0" borderId="8" xfId="16" applyAlignment="1" applyBorder="1" applyFont="1" applyNumberFormat="1" applyFill="1" applyProtection="1">
      <alignment vertical="center" wrapText="1"/>
    </xf>
    <xf xxid="2009" numFmtId="0" fontId="3" fillId="0" borderId="20" xfId="16" applyAlignment="1" applyBorder="1" applyFont="1" applyNumberFormat="1" applyFill="1" applyProtection="1">
      <alignment vertical="center" wrapText="1"/>
    </xf>
    <xf xxid="2010" numFmtId="0" fontId="20" fillId="0" borderId="9" xfId="16" applyAlignment="1" applyBorder="1" applyFont="1" applyNumberFormat="1" applyFill="1" applyProtection="1">
      <alignment horizontal="center" vertical="center"/>
    </xf>
    <xf xxid="2011" numFmtId="0" fontId="20" fillId="0" borderId="22" xfId="16" applyAlignment="1" applyBorder="1" applyFont="1" applyNumberFormat="1" applyFill="1" applyProtection="1">
      <alignment horizontal="center" vertical="center"/>
    </xf>
    <xf xxid="2012" numFmtId="0" fontId="20" fillId="0" borderId="8" xfId="16" applyAlignment="1" applyBorder="1" applyFont="1" applyNumberFormat="1" applyFill="1" applyProtection="1">
      <alignment horizontal="center" vertical="center"/>
    </xf>
    <xf xxid="2013" numFmtId="0" fontId="20" fillId="0" borderId="20" xfId="16" applyAlignment="1" applyBorder="1" applyFont="1" applyNumberFormat="1" applyFill="1" applyProtection="1">
      <alignment horizontal="center" vertical="center"/>
    </xf>
    <xf xxid="2014" numFmtId="0" fontId="57" fillId="0" borderId="10" xfId="16" applyAlignment="1" applyBorder="1" applyFont="1" applyNumberFormat="1" applyFill="1" applyProtection="1">
      <alignment horizontal="left" vertical="center" wrapText="1"/>
    </xf>
    <xf xxid="2015" numFmtId="169" fontId="17" fillId="16" borderId="23" xfId="16" applyAlignment="1" applyBorder="1" applyFont="1" applyNumberFormat="1" applyFill="1" applyProtection="1">
      <alignment horizontal="center" vertical="center"/>
    </xf>
    <xf xxid="2016" numFmtId="169" fontId="17" fillId="16" borderId="9" xfId="16" applyAlignment="1" applyBorder="1" applyFont="1" applyNumberFormat="1" applyFill="1" applyProtection="1">
      <alignment horizontal="center" vertical="center"/>
    </xf>
    <xf xxid="2017" numFmtId="169" fontId="17" fillId="16" borderId="10" xfId="16" applyAlignment="1" applyBorder="1" applyFont="1" applyNumberFormat="1" applyFill="1" applyProtection="1">
      <alignment horizontal="center" vertical="center"/>
    </xf>
    <xf xxid="2018" numFmtId="169" fontId="17" fillId="16" borderId="0" xfId="16" applyAlignment="1" applyBorder="1" applyFont="1" applyNumberFormat="1" applyFill="1" applyProtection="1">
      <alignment horizontal="center" vertical="center"/>
    </xf>
    <xf xxid="2019" numFmtId="169" fontId="17" fillId="16" borderId="19" xfId="16" applyAlignment="1" applyBorder="1" applyFont="1" applyNumberFormat="1" applyFill="1" applyProtection="1">
      <alignment horizontal="center" vertical="center"/>
    </xf>
    <xf xxid="2020" numFmtId="169" fontId="17" fillId="16" borderId="8" xfId="16" applyAlignment="1" applyBorder="1" applyFont="1" applyNumberFormat="1" applyFill="1" applyProtection="1">
      <alignment horizontal="center" vertical="center"/>
    </xf>
    <xf xxid="2021" numFmtId="0" fontId="3" fillId="0" borderId="15" xfId="16" applyAlignment="1" applyBorder="1" applyFont="1" applyNumberFormat="1" applyFill="1" applyProtection="1">
      <alignment horizontal="center" vertical="center"/>
    </xf>
    <xf xxid="2022" numFmtId="0" fontId="3" fillId="0" borderId="37" xfId="16" applyAlignment="1" applyBorder="1" applyFont="1" applyNumberFormat="1" applyFill="1" applyProtection="1">
      <alignment horizontal="center" vertical="center"/>
    </xf>
    <xf xxid="2023" numFmtId="0" fontId="3" fillId="0" borderId="16" xfId="16" applyAlignment="1" applyBorder="1" applyFont="1" applyNumberFormat="1" applyFill="1" applyProtection="1">
      <alignment horizontal="center" vertical="center"/>
    </xf>
    <xf xxid="2024" numFmtId="0" fontId="57" fillId="0" borderId="23" xfId="16" applyAlignment="1" applyBorder="1" applyFont="1" applyNumberFormat="1" applyFill="1" applyProtection="1">
      <alignment horizontal="center" vertical="center" wrapText="1"/>
    </xf>
    <xf xxid="2025" numFmtId="0" fontId="57" fillId="0" borderId="22" xfId="16" applyAlignment="1" applyBorder="1" applyFont="1" applyNumberFormat="1" applyFill="1" applyProtection="1">
      <alignment horizontal="center" vertical="center" wrapText="1"/>
    </xf>
    <xf xxid="2026" numFmtId="0" fontId="57" fillId="0" borderId="10" xfId="16" applyAlignment="1" applyBorder="1" applyFont="1" applyNumberFormat="1" applyFill="1" applyProtection="1">
      <alignment horizontal="center" vertical="center" wrapText="1"/>
    </xf>
    <xf xxid="2027" numFmtId="0" fontId="57" fillId="0" borderId="12" xfId="16" applyAlignment="1" applyBorder="1" applyFont="1" applyNumberFormat="1" applyFill="1" applyProtection="1">
      <alignment horizontal="center" vertical="center" wrapText="1"/>
    </xf>
    <xf xxid="2028" numFmtId="0" fontId="57" fillId="0" borderId="19" xfId="16" applyAlignment="1" applyBorder="1" applyFont="1" applyNumberFormat="1" applyFill="1" applyProtection="1">
      <alignment horizontal="center" vertical="center" wrapText="1"/>
    </xf>
    <xf xxid="2029" numFmtId="0" fontId="57" fillId="0" borderId="20" xfId="16" applyAlignment="1" applyBorder="1" applyFont="1" applyNumberFormat="1" applyFill="1" applyProtection="1">
      <alignment horizontal="center" vertical="center" wrapText="1"/>
    </xf>
    <xf xxid="2030" numFmtId="0" fontId="2" fillId="0" borderId="10" xfId="16" applyAlignment="1" applyBorder="1" applyFont="1" applyNumberFormat="1" applyFill="1" applyProtection="1">
      <alignment horizontal="center"/>
    </xf>
    <xf xxid="2031" numFmtId="0" fontId="2" fillId="0" borderId="0" xfId="16" applyAlignment="1" applyBorder="1" applyFont="1" applyNumberFormat="1" applyFill="1" applyProtection="1">
      <alignment horizontal="center"/>
    </xf>
    <xf xxid="2032" numFmtId="0" fontId="20" fillId="0" borderId="0" xfId="0" applyAlignment="1" applyBorder="1" applyFont="1" applyNumberFormat="1" applyFill="1" applyProtection="1">
      <alignment horizontal="center" vertical="top"/>
    </xf>
    <xf xxid="2033" numFmtId="0" fontId="20" fillId="0" borderId="12" xfId="0" applyAlignment="1" applyBorder="1" applyFont="1" applyNumberFormat="1" applyFill="1" applyProtection="1">
      <alignment horizontal="center" vertical="top"/>
    </xf>
    <xf xxid="2034" numFmtId="169" fontId="17" fillId="0" borderId="22" xfId="16" applyAlignment="1" applyBorder="1" applyFont="1" applyNumberFormat="1" applyFill="1" applyProtection="1">
      <alignment horizontal="center" vertical="center"/>
    </xf>
    <xf xxid="2035" numFmtId="169" fontId="17" fillId="0" borderId="12" xfId="16" applyAlignment="1" applyBorder="1" applyFont="1" applyNumberFormat="1" applyFill="1" applyProtection="1">
      <alignment horizontal="center" vertical="center"/>
    </xf>
    <xf xxid="2036" numFmtId="169" fontId="17" fillId="0" borderId="9" xfId="16" applyAlignment="1" applyBorder="1" applyFont="1" applyNumberFormat="1" applyFill="1" applyProtection="1">
      <alignment vertical="center" wrapText="1"/>
    </xf>
    <xf xxid="2037" numFmtId="169" fontId="17" fillId="0" borderId="22" xfId="16" applyAlignment="1" applyBorder="1" applyFont="1" applyNumberFormat="1" applyFill="1" applyProtection="1">
      <alignment vertical="center" wrapText="1"/>
    </xf>
    <xf xxid="2038" numFmtId="0" fontId="17" fillId="0" borderId="23" xfId="16" applyAlignment="1" applyBorder="1" applyFont="1" applyNumberFormat="1" applyFill="1" applyProtection="1">
      <alignment horizontal="center" vertical="center" wrapText="1"/>
      <protection locked="0"/>
    </xf>
    <xf xxid="2039" numFmtId="0" fontId="17" fillId="0" borderId="9" xfId="16" applyAlignment="1" applyBorder="1" applyFont="1" applyNumberFormat="1" applyFill="1" applyProtection="1">
      <alignment horizontal="center" vertical="center" wrapText="1"/>
      <protection locked="0"/>
    </xf>
    <xf xxid="2040" numFmtId="0" fontId="17" fillId="0" borderId="22" xfId="16" applyAlignment="1" applyBorder="1" applyFont="1" applyNumberFormat="1" applyFill="1" applyProtection="1">
      <alignment horizontal="center" vertical="center" wrapText="1"/>
      <protection locked="0"/>
    </xf>
    <xf xxid="2041" numFmtId="0" fontId="17" fillId="0" borderId="10" xfId="16" applyAlignment="1" applyBorder="1" applyFont="1" applyNumberFormat="1" applyFill="1" applyProtection="1">
      <alignment horizontal="center" vertical="center" wrapText="1"/>
      <protection locked="0"/>
    </xf>
    <xf xxid="2042" numFmtId="0" fontId="17" fillId="0" borderId="0" xfId="16" applyAlignment="1" applyBorder="1" applyFont="1" applyNumberFormat="1" applyFill="1" applyProtection="1">
      <alignment horizontal="center" vertical="center" wrapText="1"/>
      <protection locked="0"/>
    </xf>
    <xf xxid="2043" numFmtId="0" fontId="17" fillId="0" borderId="12" xfId="16" applyAlignment="1" applyBorder="1" applyFont="1" applyNumberFormat="1" applyFill="1" applyProtection="1">
      <alignment horizontal="center" vertical="center" wrapText="1"/>
      <protection locked="0"/>
    </xf>
    <xf xxid="2044" numFmtId="166" fontId="17" fillId="0" borderId="23" xfId="16" applyAlignment="1" applyBorder="1" applyFont="1" applyNumberFormat="1" applyFill="1" applyProtection="1">
      <alignment horizontal="right" vertical="center"/>
    </xf>
    <xf xxid="2045" numFmtId="166" fontId="17" fillId="0" borderId="9" xfId="16" applyAlignment="1" applyBorder="1" applyFont="1" applyNumberFormat="1" applyFill="1" applyProtection="1">
      <alignment horizontal="right" vertical="center"/>
    </xf>
    <xf xxid="2046" numFmtId="169" fontId="17" fillId="0" borderId="23" xfId="16" applyAlignment="1" applyBorder="1" applyFont="1" applyNumberFormat="1" applyFill="1" applyProtection="1">
      <alignment horizontal="left" vertical="top"/>
    </xf>
    <xf xxid="2047" numFmtId="169" fontId="17" fillId="0" borderId="9" xfId="16" applyAlignment="1" applyBorder="1" applyFont="1" applyNumberFormat="1" applyFill="1" applyProtection="1">
      <alignment horizontal="left" vertical="top"/>
    </xf>
    <xf xxid="2048" numFmtId="169" fontId="17" fillId="0" borderId="22" xfId="16" applyAlignment="1" applyBorder="1" applyFont="1" applyNumberFormat="1" applyFill="1" applyProtection="1">
      <alignment horizontal="left" vertical="top"/>
    </xf>
    <xf xxid="2049" numFmtId="169" fontId="17" fillId="0" borderId="10" xfId="16" applyAlignment="1" applyBorder="1" applyFont="1" applyNumberFormat="1" applyFill="1" applyProtection="1">
      <alignment horizontal="left" vertical="top"/>
    </xf>
    <xf xxid="2050" numFmtId="169" fontId="17" fillId="0" borderId="0" xfId="16" applyAlignment="1" applyBorder="1" applyFont="1" applyNumberFormat="1" applyFill="1" applyProtection="1">
      <alignment horizontal="left" vertical="top"/>
    </xf>
    <xf xxid="2051" numFmtId="169" fontId="17" fillId="0" borderId="12" xfId="16" applyAlignment="1" applyBorder="1" applyFont="1" applyNumberFormat="1" applyFill="1" applyProtection="1">
      <alignment horizontal="left" vertical="top"/>
    </xf>
    <xf xxid="2052" numFmtId="169" fontId="17" fillId="0" borderId="23" xfId="16" applyAlignment="1" applyBorder="1" applyFont="1" applyNumberFormat="1" applyFill="1" applyProtection="1">
      <alignment vertical="center" wrapText="1"/>
    </xf>
    <xf xxid="2053" numFmtId="169" fontId="17" fillId="0" borderId="10" xfId="16" applyAlignment="1" applyBorder="1" applyFont="1" applyNumberFormat="1" applyFill="1" applyProtection="1">
      <alignment vertical="center" wrapText="1"/>
    </xf>
    <xf xxid="2054" numFmtId="169" fontId="17" fillId="0" borderId="23" xfId="16" applyAlignment="1" applyBorder="1" applyFont="1" applyNumberFormat="1" applyFill="1" applyProtection="1">
      <alignment horizontal="center" vertical="center" wrapText="1"/>
      <protection locked="0"/>
    </xf>
    <xf xxid="2055" numFmtId="169" fontId="17" fillId="0" borderId="9" xfId="16" applyAlignment="1" applyBorder="1" applyFont="1" applyNumberFormat="1" applyFill="1" applyProtection="1">
      <alignment horizontal="center" vertical="center" wrapText="1"/>
      <protection locked="0"/>
    </xf>
    <xf xxid="2056" numFmtId="169" fontId="17" fillId="0" borderId="22" xfId="16" applyAlignment="1" applyBorder="1" applyFont="1" applyNumberFormat="1" applyFill="1" applyProtection="1">
      <alignment horizontal="center" vertical="center" wrapText="1"/>
      <protection locked="0"/>
    </xf>
    <xf xxid="2057" numFmtId="169" fontId="17" fillId="0" borderId="10" xfId="16" applyAlignment="1" applyBorder="1" applyFont="1" applyNumberFormat="1" applyFill="1" applyProtection="1">
      <alignment horizontal="center" vertical="center" wrapText="1"/>
      <protection locked="0"/>
    </xf>
    <xf xxid="2058" numFmtId="169" fontId="17" fillId="0" borderId="12" xfId="16" applyAlignment="1" applyBorder="1" applyFont="1" applyNumberFormat="1" applyFill="1" applyProtection="1">
      <alignment horizontal="center" vertical="center" wrapText="1"/>
      <protection locked="0"/>
    </xf>
    <xf xxid="2059" numFmtId="166" fontId="17" fillId="0" borderId="22" xfId="16" applyAlignment="1" applyBorder="1" applyFont="1" applyNumberFormat="1" applyFill="1" applyProtection="1">
      <alignment horizontal="right" vertical="center"/>
    </xf>
    <xf xxid="2060" numFmtId="166" fontId="17" fillId="0" borderId="12" xfId="16" applyAlignment="1" applyBorder="1" applyFont="1" applyNumberFormat="1" applyFill="1" applyProtection="1">
      <alignment horizontal="right" vertical="center"/>
    </xf>
    <xf xxid="2061" numFmtId="169" fontId="17" fillId="0" borderId="9" xfId="16" applyAlignment="1" applyBorder="1" applyFont="1" applyNumberFormat="1" applyFill="1" applyProtection="1">
      <alignment horizontal="left"/>
    </xf>
    <xf xxid="2062" numFmtId="169" fontId="17" fillId="0" borderId="22" xfId="16" applyAlignment="1" applyBorder="1" applyFont="1" applyNumberFormat="1" applyFill="1" applyProtection="1">
      <alignment horizontal="left"/>
    </xf>
    <xf xxid="2063" numFmtId="169" fontId="17" fillId="0" borderId="0" xfId="16" applyAlignment="1" applyBorder="1" applyFont="1" applyNumberFormat="1" applyFill="1" applyProtection="1">
      <alignment horizontal="left"/>
    </xf>
    <xf xxid="2064" numFmtId="169" fontId="17" fillId="0" borderId="12" xfId="16" applyAlignment="1" applyBorder="1" applyFont="1" applyNumberFormat="1" applyFill="1" applyProtection="1">
      <alignment horizontal="left"/>
    </xf>
    <xf xxid="2065" numFmtId="177" fontId="17" fillId="0" borderId="23" xfId="0" applyAlignment="1" applyBorder="1" applyFont="1" applyNumberFormat="1" applyFill="1" applyProtection="1">
      <alignment horizontal="right" vertical="center"/>
    </xf>
    <xf xxid="2066" numFmtId="177" fontId="17" fillId="0" borderId="9" xfId="0" applyAlignment="1" applyBorder="1" applyFont="1" applyNumberFormat="1" applyFill="1" applyProtection="1">
      <alignment horizontal="right" vertical="center"/>
    </xf>
    <xf xxid="2067" numFmtId="177" fontId="17" fillId="0" borderId="10" xfId="0" applyAlignment="1" applyBorder="1" applyFont="1" applyNumberFormat="1" applyFill="1" applyProtection="1">
      <alignment horizontal="right" vertical="center"/>
    </xf>
    <xf xxid="2068" numFmtId="177" fontId="17" fillId="0" borderId="0" xfId="0" applyAlignment="1" applyBorder="1" applyFont="1" applyNumberFormat="1" applyFill="1" applyProtection="1">
      <alignment horizontal="right" vertical="center"/>
    </xf>
    <xf xxid="2069" numFmtId="0" fontId="57" fillId="0" borderId="9" xfId="16" applyAlignment="1" applyBorder="1" applyFont="1" applyNumberFormat="1" applyFill="1" applyProtection="1">
      <alignment horizontal="center"/>
    </xf>
    <xf xxid="2070" numFmtId="0" fontId="57" fillId="0" borderId="22" xfId="16" applyAlignment="1" applyBorder="1" applyFont="1" applyNumberFormat="1" applyFill="1" applyProtection="1">
      <alignment horizontal="center"/>
    </xf>
    <xf xxid="2071" numFmtId="0" fontId="57" fillId="0" borderId="10" xfId="16" applyAlignment="1" applyBorder="1" applyFont="1" applyNumberFormat="1" applyFill="1" applyProtection="1">
      <alignment horizontal="center"/>
    </xf>
    <xf xxid="2072" numFmtId="0" fontId="57" fillId="0" borderId="0" xfId="16" applyAlignment="1" applyBorder="1" applyFont="1" applyNumberFormat="1" applyFill="1" applyProtection="1">
      <alignment horizontal="center"/>
    </xf>
    <xf xxid="2073" numFmtId="0" fontId="57" fillId="0" borderId="12" xfId="16" applyAlignment="1" applyBorder="1" applyFont="1" applyNumberFormat="1" applyFill="1" applyProtection="1">
      <alignment horizontal="center"/>
    </xf>
    <xf xxid="2074" numFmtId="0" fontId="3" fillId="0" borderId="10" xfId="16" applyAlignment="1" applyBorder="1" applyFont="1" applyNumberFormat="1" applyFill="1" applyProtection="1">
      <alignment horizontal="center"/>
    </xf>
    <xf xxid="2075" numFmtId="0" fontId="3" fillId="0" borderId="0" xfId="16" applyAlignment="1" applyBorder="1" applyFont="1" applyNumberFormat="1" applyFill="1" applyProtection="1">
      <alignment horizontal="center"/>
    </xf>
    <xf xxid="2076" numFmtId="0" fontId="3" fillId="0" borderId="12" xfId="16" applyAlignment="1" applyBorder="1" applyFont="1" applyNumberFormat="1" applyFill="1" applyProtection="1">
      <alignment horizontal="center"/>
    </xf>
    <xf xxid="2077" numFmtId="0" fontId="17" fillId="0" borderId="23" xfId="16" applyAlignment="1" applyBorder="1" applyFont="1" applyNumberFormat="1" applyFill="1" applyProtection="1">
      <alignment horizontal="center" vertical="center"/>
    </xf>
    <xf xxid="2078" numFmtId="0" fontId="17" fillId="0" borderId="22" xfId="16" applyAlignment="1" applyBorder="1" applyFont="1" applyNumberFormat="1" applyFill="1" applyProtection="1">
      <alignment horizontal="center" vertical="center"/>
    </xf>
    <xf xxid="2079" numFmtId="0" fontId="17" fillId="0" borderId="12" xfId="16" applyAlignment="1" applyBorder="1" applyFont="1" applyNumberFormat="1" applyFill="1" applyProtection="1">
      <alignment horizontal="center" vertical="center"/>
    </xf>
    <xf xxid="2080" numFmtId="0" fontId="17" fillId="0" borderId="9" xfId="16" applyAlignment="1" applyBorder="1" applyFont="1" applyNumberFormat="1" applyFill="1" applyProtection="1">
      <alignment horizontal="left" vertical="center" wrapText="1"/>
    </xf>
    <xf xxid="2081" numFmtId="0" fontId="17" fillId="0" borderId="22" xfId="16" applyAlignment="1" applyBorder="1" applyFont="1" applyNumberFormat="1" applyFill="1" applyProtection="1">
      <alignment horizontal="left" vertical="center" wrapText="1"/>
    </xf>
    <xf xxid="2082" numFmtId="0" fontId="17" fillId="0" borderId="0" xfId="16" applyAlignment="1" applyBorder="1" applyFont="1" applyNumberFormat="1" applyFill="1" applyProtection="1">
      <alignment horizontal="left" vertical="center" wrapText="1"/>
    </xf>
    <xf xxid="2083" numFmtId="0" fontId="17" fillId="0" borderId="12" xfId="16" applyAlignment="1" applyBorder="1" applyFont="1" applyNumberFormat="1" applyFill="1" applyProtection="1">
      <alignment horizontal="left" vertical="center" wrapText="1"/>
    </xf>
    <xf xxid="2084" numFmtId="169" fontId="17" fillId="0" borderId="132" xfId="16" applyAlignment="1" applyBorder="1" applyFont="1" applyNumberFormat="1" applyFill="1" applyProtection="1">
      <alignment horizontal="right" vertical="center"/>
      <protection locked="0"/>
    </xf>
    <xf xxid="2085" numFmtId="169" fontId="17" fillId="0" borderId="133" xfId="16" applyAlignment="1" applyBorder="1" applyFont="1" applyNumberFormat="1" applyFill="1" applyProtection="1">
      <alignment horizontal="right" vertical="center"/>
      <protection locked="0"/>
    </xf>
    <xf xxid="2086" numFmtId="169" fontId="17" fillId="0" borderId="32" xfId="16" applyAlignment="1" applyBorder="1" applyFont="1" applyNumberFormat="1" applyFill="1" applyProtection="1">
      <alignment horizontal="right" vertical="center"/>
      <protection locked="0"/>
    </xf>
    <xf xxid="2087" numFmtId="169" fontId="17" fillId="0" borderId="12" xfId="16" applyAlignment="1" applyBorder="1" applyFont="1" applyNumberFormat="1" applyFill="1" applyProtection="1">
      <alignment horizontal="right" vertical="center"/>
      <protection locked="0"/>
    </xf>
    <xf xxid="2088" numFmtId="0" fontId="17" fillId="0" borderId="9" xfId="16" applyAlignment="1" applyBorder="1" applyFont="1" applyNumberFormat="1" applyFill="1" applyProtection="1">
      <alignment horizontal="center" vertical="center"/>
    </xf>
    <xf xxid="2089" numFmtId="169" fontId="17" fillId="0" borderId="23" xfId="16" applyAlignment="1" applyBorder="1" applyFont="1" applyNumberFormat="1" applyFill="1" applyProtection="1">
      <alignment horizontal="left" vertical="center"/>
    </xf>
    <xf xxid="2090" numFmtId="169" fontId="17" fillId="0" borderId="9" xfId="16" applyAlignment="1" applyBorder="1" applyFont="1" applyNumberFormat="1" applyFill="1" applyProtection="1">
      <alignment horizontal="left" vertical="center"/>
    </xf>
    <xf xxid="2091" numFmtId="169" fontId="17" fillId="0" borderId="22" xfId="16" applyAlignment="1" applyBorder="1" applyFont="1" applyNumberFormat="1" applyFill="1" applyProtection="1">
      <alignment horizontal="left" vertical="center"/>
    </xf>
    <xf xxid="2092" numFmtId="169" fontId="17" fillId="0" borderId="10" xfId="16" applyAlignment="1" applyBorder="1" applyFont="1" applyNumberFormat="1" applyFill="1" applyProtection="1">
      <alignment horizontal="left" vertical="center"/>
    </xf>
    <xf xxid="2093" numFmtId="169" fontId="17" fillId="0" borderId="23" xfId="16" applyAlignment="1" applyBorder="1" applyFont="1" applyNumberFormat="1" applyFill="1" applyProtection="1">
      <alignment horizontal="right" vertical="center"/>
      <protection locked="0"/>
    </xf>
    <xf xxid="2094" numFmtId="169" fontId="17" fillId="0" borderId="9" xfId="16" applyAlignment="1" applyBorder="1" applyFont="1" applyNumberFormat="1" applyFill="1" applyProtection="1">
      <alignment horizontal="right" vertical="center"/>
      <protection locked="0"/>
    </xf>
    <xf xxid="2095" numFmtId="169" fontId="17" fillId="0" borderId="22" xfId="16" applyAlignment="1" applyBorder="1" applyFont="1" applyNumberFormat="1" applyFill="1" applyProtection="1">
      <alignment horizontal="right" vertical="center"/>
      <protection locked="0"/>
    </xf>
    <xf xxid="2096" numFmtId="169" fontId="3" fillId="0" borderId="9" xfId="16" applyAlignment="1" applyBorder="1" applyFont="1" applyNumberFormat="1" applyFill="1" applyProtection="1">
      <alignment horizontal="right" vertical="center"/>
    </xf>
    <xf xxid="2097" numFmtId="169" fontId="3" fillId="0" borderId="22" xfId="16" applyAlignment="1" applyBorder="1" applyFont="1" applyNumberFormat="1" applyFill="1" applyProtection="1">
      <alignment horizontal="right" vertical="center"/>
    </xf>
    <xf xxid="2098" numFmtId="0" fontId="3" fillId="0" borderId="9" xfId="0" applyAlignment="1" applyBorder="1" applyFont="1" applyNumberFormat="1" applyFill="1" applyProtection="1">
      <alignment horizontal="center" vertical="center" wrapText="1"/>
    </xf>
    <xf xxid="2099" numFmtId="0" fontId="3" fillId="0" borderId="22" xfId="0" applyAlignment="1" applyBorder="1" applyFont="1" applyNumberFormat="1" applyFill="1" applyProtection="1">
      <alignment horizontal="center" vertical="center" wrapText="1"/>
    </xf>
    <xf xxid="2100" numFmtId="0" fontId="3" fillId="0" borderId="0" xfId="0" applyAlignment="1" applyBorder="1" applyFont="1" applyNumberFormat="1" applyFill="1" applyProtection="1">
      <alignment horizontal="center" vertical="center" wrapText="1"/>
    </xf>
    <xf xxid="2101" numFmtId="0" fontId="3" fillId="0" borderId="12" xfId="0" applyAlignment="1" applyBorder="1" applyFont="1" applyNumberFormat="1" applyFill="1" applyProtection="1">
      <alignment horizontal="center" vertical="center" wrapText="1"/>
    </xf>
    <xf xxid="2102" numFmtId="0" fontId="3" fillId="0" borderId="19" xfId="0" applyAlignment="1" applyBorder="1" applyFont="1" applyNumberFormat="1" applyFill="1" applyProtection="1">
      <alignment horizontal="center" vertical="center" wrapText="1"/>
    </xf>
    <xf xxid="2103" numFmtId="0" fontId="3" fillId="0" borderId="8" xfId="0" applyAlignment="1" applyBorder="1" applyFont="1" applyNumberFormat="1" applyFill="1" applyProtection="1">
      <alignment horizontal="center" vertical="center" wrapText="1"/>
    </xf>
    <xf xxid="2104" numFmtId="0" fontId="3" fillId="0" borderId="20" xfId="0" applyAlignment="1" applyBorder="1" applyFont="1" applyNumberFormat="1" applyFill="1" applyProtection="1">
      <alignment horizontal="center" vertical="center" wrapText="1"/>
    </xf>
    <xf xxid="2105" numFmtId="169" fontId="17" fillId="0" borderId="23" xfId="16" applyAlignment="1" applyBorder="1" applyFont="1" applyNumberFormat="1" applyFill="1" applyProtection="1">
      <alignment horizontal="left" vertical="center" wrapText="1"/>
    </xf>
    <xf xxid="2106" numFmtId="169" fontId="17" fillId="0" borderId="9" xfId="16" applyAlignment="1" applyBorder="1" applyFont="1" applyNumberFormat="1" applyFill="1" applyProtection="1">
      <alignment horizontal="left" vertical="center" wrapText="1"/>
    </xf>
    <xf xxid="2107" numFmtId="169" fontId="17" fillId="0" borderId="22" xfId="16" applyAlignment="1" applyBorder="1" applyFont="1" applyNumberFormat="1" applyFill="1" applyProtection="1">
      <alignment horizontal="left" vertical="center" wrapText="1"/>
    </xf>
    <xf xxid="2108" numFmtId="169" fontId="17" fillId="0" borderId="10" xfId="16" applyAlignment="1" applyBorder="1" applyFont="1" applyNumberFormat="1" applyFill="1" applyProtection="1">
      <alignment horizontal="left" vertical="center" wrapText="1"/>
    </xf>
    <xf xxid="2109" numFmtId="169" fontId="17" fillId="0" borderId="0" xfId="16" applyAlignment="1" applyBorder="1" applyFont="1" applyNumberFormat="1" applyFill="1" applyProtection="1">
      <alignment horizontal="left" vertical="center" wrapText="1"/>
    </xf>
    <xf xxid="2110" numFmtId="169" fontId="17" fillId="0" borderId="12" xfId="16" applyAlignment="1" applyBorder="1" applyFont="1" applyNumberFormat="1" applyFill="1" applyProtection="1">
      <alignment horizontal="left" vertical="center" wrapText="1"/>
    </xf>
    <xf xxid="2111" numFmtId="0" fontId="3" fillId="0" borderId="23" xfId="16" applyAlignment="1" applyBorder="1" applyFont="1" applyNumberFormat="1" applyFill="1" applyProtection="1">
      <alignment horizontal="center" vertical="center" wrapText="1"/>
    </xf>
    <xf xxid="2112" numFmtId="0" fontId="2" fillId="0" borderId="9" xfId="16" applyAlignment="1" applyBorder="1" applyFont="1" applyNumberFormat="1" applyFill="1" applyProtection="1">
      <alignment horizontal="center" vertical="center" wrapText="1"/>
    </xf>
    <xf xxid="2113" numFmtId="0" fontId="2" fillId="0" borderId="22" xfId="16" applyAlignment="1" applyBorder="1" applyFont="1" applyNumberFormat="1" applyFill="1" applyProtection="1">
      <alignment horizontal="center" vertical="center" wrapText="1"/>
    </xf>
    <xf xxid="2114" numFmtId="0" fontId="2" fillId="0" borderId="10" xfId="16" applyAlignment="1" applyBorder="1" applyFont="1" applyNumberFormat="1" applyFill="1" applyProtection="1">
      <alignment horizontal="center" vertical="center" wrapText="1"/>
    </xf>
    <xf xxid="2115" numFmtId="0" fontId="2" fillId="0" borderId="0" xfId="16" applyAlignment="1" applyBorder="1" applyFont="1" applyNumberFormat="1" applyFill="1" applyProtection="1">
      <alignment horizontal="center" vertical="center" wrapText="1"/>
    </xf>
    <xf xxid="2116" numFmtId="0" fontId="2" fillId="0" borderId="12" xfId="16" applyAlignment="1" applyBorder="1" applyFont="1" applyNumberFormat="1" applyFill="1" applyProtection="1">
      <alignment horizontal="center" vertical="center" wrapText="1"/>
    </xf>
    <xf xxid="2117" numFmtId="0" fontId="2" fillId="0" borderId="19" xfId="16" applyAlignment="1" applyBorder="1" applyFont="1" applyNumberFormat="1" applyFill="1" applyProtection="1">
      <alignment horizontal="center" vertical="center" wrapText="1"/>
    </xf>
    <xf xxid="2118" numFmtId="0" fontId="2" fillId="0" borderId="8" xfId="16" applyAlignment="1" applyBorder="1" applyFont="1" applyNumberFormat="1" applyFill="1" applyProtection="1">
      <alignment horizontal="center" vertical="center" wrapText="1"/>
    </xf>
    <xf xxid="2119" numFmtId="0" fontId="2" fillId="0" borderId="20" xfId="16" applyAlignment="1" applyBorder="1" applyFont="1" applyNumberFormat="1" applyFill="1" applyProtection="1">
      <alignment horizontal="center" vertical="center" wrapText="1"/>
    </xf>
    <xf xxid="2120" numFmtId="169" fontId="17" fillId="0" borderId="134" xfId="16" applyAlignment="1" applyBorder="1" applyFont="1" applyNumberFormat="1" applyFill="1" applyProtection="1">
      <alignment horizontal="center" vertical="center"/>
    </xf>
    <xf xxid="2121" numFmtId="169" fontId="17" fillId="0" borderId="135" xfId="16" applyAlignment="1" applyBorder="1" applyFont="1" applyNumberFormat="1" applyFill="1" applyProtection="1">
      <alignment horizontal="center" vertical="center"/>
    </xf>
    <xf xxid="2122" numFmtId="169" fontId="17" fillId="0" borderId="136" xfId="16" applyAlignment="1" applyBorder="1" applyFont="1" applyNumberFormat="1" applyFill="1" applyProtection="1">
      <alignment horizontal="center" vertical="center"/>
    </xf>
    <xf xxid="2123" numFmtId="169" fontId="17" fillId="0" borderId="104" xfId="16" applyAlignment="1" applyBorder="1" applyFont="1" applyNumberFormat="1" applyFill="1" applyProtection="1">
      <alignment horizontal="center" vertical="center"/>
    </xf>
    <xf xxid="2124" numFmtId="169" fontId="17" fillId="0" borderId="137" xfId="16" applyAlignment="1" applyBorder="1" applyFont="1" applyNumberFormat="1" applyFill="1" applyProtection="1">
      <alignment horizontal="center" vertical="center"/>
    </xf>
    <xf xxid="2125" numFmtId="169" fontId="17" fillId="0" borderId="127" xfId="16" applyAlignment="1" applyBorder="1" applyFont="1" applyNumberFormat="1" applyFill="1" applyProtection="1">
      <alignment horizontal="center" vertical="center"/>
    </xf>
    <xf xxid="2126" numFmtId="169" fontId="17" fillId="0" borderId="132" xfId="16" applyAlignment="1" applyBorder="1" applyFont="1" applyNumberFormat="1" applyFill="1" applyProtection="1">
      <alignment horizontal="center" vertical="center"/>
    </xf>
    <xf xxid="2127" numFmtId="169" fontId="17" fillId="0" borderId="133" xfId="16" applyAlignment="1" applyBorder="1" applyFont="1" applyNumberFormat="1" applyFill="1" applyProtection="1">
      <alignment horizontal="center" vertical="center"/>
    </xf>
    <xf xxid="2128" numFmtId="169" fontId="17" fillId="0" borderId="32" xfId="16" applyAlignment="1" applyBorder="1" applyFont="1" applyNumberFormat="1" applyFill="1" applyProtection="1">
      <alignment horizontal="center" vertical="center"/>
    </xf>
    <xf xxid="2129" numFmtId="177" fontId="17" fillId="0" borderId="23" xfId="16" applyAlignment="1" applyBorder="1" applyFont="1" applyNumberFormat="1" applyFill="1" applyProtection="1">
      <alignment horizontal="center" vertical="center"/>
    </xf>
    <xf xxid="2130" numFmtId="177" fontId="17" fillId="0" borderId="9" xfId="16" applyAlignment="1" applyBorder="1" applyFont="1" applyNumberFormat="1" applyFill="1" applyProtection="1">
      <alignment horizontal="center" vertical="center"/>
    </xf>
    <xf xxid="2131" numFmtId="177" fontId="17" fillId="0" borderId="10" xfId="16" applyAlignment="1" applyBorder="1" applyFont="1" applyNumberFormat="1" applyFill="1" applyProtection="1">
      <alignment horizontal="center" vertical="center"/>
    </xf>
    <xf xxid="2132" numFmtId="177" fontId="17" fillId="0" borderId="0" xfId="16" applyAlignment="1" applyBorder="1" applyFont="1" applyNumberFormat="1" applyFill="1" applyProtection="1">
      <alignment horizontal="center" vertical="center"/>
    </xf>
    <xf xxid="2133" numFmtId="169" fontId="17" fillId="0" borderId="19" xfId="16" applyAlignment="1" applyBorder="1" applyFont="1" applyNumberFormat="1" applyFill="1" applyProtection="1">
      <alignment horizontal="left" vertical="center"/>
    </xf>
    <xf xxid="2134" numFmtId="169" fontId="17" fillId="0" borderId="8" xfId="16" applyAlignment="1" applyBorder="1" applyFont="1" applyNumberFormat="1" applyFill="1" applyProtection="1">
      <alignment horizontal="left" vertical="center"/>
    </xf>
    <xf xxid="2135" numFmtId="169" fontId="17" fillId="0" borderId="20" xfId="16" applyAlignment="1" applyBorder="1" applyFont="1" applyNumberFormat="1" applyFill="1" applyProtection="1">
      <alignment horizontal="left" vertical="center"/>
    </xf>
    <xf xxid="2136" numFmtId="0" fontId="17" fillId="0" borderId="19" xfId="16" applyAlignment="1" applyBorder="1" applyFont="1" applyNumberFormat="1" applyFill="1" applyProtection="1">
      <alignment horizontal="center" vertical="center"/>
    </xf>
    <xf xxid="2137" numFmtId="0" fontId="17" fillId="0" borderId="8" xfId="16" applyAlignment="1" applyBorder="1" applyFont="1" applyNumberFormat="1" applyFill="1" applyProtection="1">
      <alignment horizontal="center" vertical="center"/>
    </xf>
    <xf xxid="2138" numFmtId="0" fontId="17" fillId="0" borderId="20" xfId="16" applyAlignment="1" applyBorder="1" applyFont="1" applyNumberFormat="1" applyFill="1" applyProtection="1">
      <alignment horizontal="center" vertical="center"/>
    </xf>
    <xf xxid="2139" numFmtId="169" fontId="17" fillId="0" borderId="105" xfId="16" applyAlignment="1" applyBorder="1" applyFont="1" applyNumberFormat="1" applyFill="1" applyProtection="1">
      <alignment horizontal="center" vertical="center"/>
    </xf>
    <xf xxid="2140" numFmtId="169" fontId="17" fillId="0" borderId="138" xfId="16" applyAlignment="1" applyBorder="1" applyFont="1" applyNumberFormat="1" applyFill="1" applyProtection="1">
      <alignment horizontal="center" vertical="center"/>
    </xf>
    <xf xxid="2141" numFmtId="169" fontId="17" fillId="0" borderId="128" xfId="16" applyAlignment="1" applyBorder="1" applyFont="1" applyNumberFormat="1" applyFill="1" applyProtection="1">
      <alignment horizontal="center" vertical="center"/>
    </xf>
    <xf xxid="2142" numFmtId="166" fontId="17" fillId="0" borderId="23" xfId="0" applyAlignment="1" applyBorder="1" applyFont="1" applyNumberFormat="1" applyFill="1" applyProtection="1">
      <alignment horizontal="right" vertical="center"/>
      <protection locked="0"/>
    </xf>
    <xf xxid="2143" numFmtId="166" fontId="17" fillId="0" borderId="9" xfId="0" applyAlignment="1" applyBorder="1" applyFont="1" applyNumberFormat="1" applyFill="1" applyProtection="1">
      <alignment horizontal="right" vertical="center"/>
      <protection locked="0"/>
    </xf>
    <xf xxid="2144" numFmtId="166" fontId="17" fillId="0" borderId="22" xfId="0" applyAlignment="1" applyBorder="1" applyFont="1" applyNumberFormat="1" applyFill="1" applyProtection="1">
      <alignment horizontal="right" vertical="center"/>
      <protection locked="0"/>
    </xf>
    <xf xxid="2145" numFmtId="166" fontId="17" fillId="0" borderId="12" xfId="0" applyAlignment="1" applyBorder="1" applyFont="1" applyNumberFormat="1" applyFill="1" applyProtection="1">
      <alignment horizontal="right" vertical="center"/>
      <protection locked="0"/>
    </xf>
    <xf xxid="2146" numFmtId="169" fontId="17" fillId="0" borderId="22" xfId="0" applyAlignment="1" applyBorder="1" applyFont="1" applyNumberFormat="1" applyFill="1" applyProtection="1">
      <alignment horizontal="center" vertical="center"/>
    </xf>
    <xf xxid="2147" numFmtId="169" fontId="17" fillId="0" borderId="23" xfId="0" applyAlignment="1" applyBorder="1" applyFont="1" applyNumberFormat="1" applyFill="1" applyProtection="1">
      <alignment horizontal="left" vertical="center"/>
    </xf>
    <xf xxid="2148" numFmtId="169" fontId="17" fillId="0" borderId="10" xfId="0" applyAlignment="1" applyBorder="1" applyFont="1" applyNumberFormat="1" applyFill="1" applyProtection="1">
      <alignment horizontal="left" vertical="center"/>
    </xf>
    <xf xxid="2149" numFmtId="169" fontId="17" fillId="0" borderId="23" xfId="0" applyAlignment="1" applyBorder="1" applyFont="1" applyNumberFormat="1" applyFill="1" applyProtection="1">
      <alignment horizontal="right" vertical="center"/>
      <protection locked="0"/>
    </xf>
    <xf xxid="2150" numFmtId="169" fontId="17" fillId="0" borderId="9" xfId="0" applyAlignment="1" applyBorder="1" applyFont="1" applyNumberFormat="1" applyFill="1" applyProtection="1">
      <alignment horizontal="right" vertical="center"/>
      <protection locked="0"/>
    </xf>
    <xf xxid="2151" numFmtId="169" fontId="17" fillId="0" borderId="22" xfId="0" applyAlignment="1" applyBorder="1" applyFont="1" applyNumberFormat="1" applyFill="1" applyProtection="1">
      <alignment horizontal="right" vertical="center"/>
      <protection locked="0"/>
    </xf>
    <xf xxid="2152" numFmtId="169" fontId="17" fillId="0" borderId="12" xfId="0" applyAlignment="1" applyBorder="1" applyFont="1" applyNumberFormat="1" applyFill="1" applyProtection="1">
      <alignment horizontal="right" vertical="center"/>
      <protection locked="0"/>
    </xf>
    <xf xxid="2153" numFmtId="176" fontId="17" fillId="0" borderId="10" xfId="0" applyAlignment="1" applyBorder="1" applyFont="1" applyNumberFormat="1" applyFill="1" applyProtection="1">
      <alignment horizontal="center" vertical="center"/>
    </xf>
    <xf xxid="2154" numFmtId="176" fontId="17" fillId="0" borderId="0" xfId="0" applyAlignment="1" applyBorder="1" applyFont="1" applyNumberFormat="1" applyFill="1" applyProtection="1">
      <alignment horizontal="center" vertical="center"/>
    </xf>
    <xf xxid="2155" numFmtId="169" fontId="17" fillId="16" borderId="23" xfId="0" applyAlignment="1" applyBorder="1" applyFont="1" applyNumberFormat="1" applyFill="1" applyProtection="1">
      <alignment horizontal="center" vertical="center"/>
    </xf>
    <xf xxid="2156" numFmtId="169" fontId="17" fillId="16" borderId="9" xfId="0" applyAlignment="1" applyBorder="1" applyFont="1" applyNumberFormat="1" applyFill="1" applyProtection="1">
      <alignment horizontal="center" vertical="center"/>
    </xf>
    <xf xxid="2157" numFmtId="169" fontId="17" fillId="16" borderId="10" xfId="0" applyAlignment="1" applyBorder="1" applyFont="1" applyNumberFormat="1" applyFill="1" applyProtection="1">
      <alignment horizontal="center" vertical="center"/>
    </xf>
    <xf xxid="2158" numFmtId="169" fontId="17" fillId="16" borderId="0" xfId="0" applyAlignment="1" applyBorder="1" applyFont="1" applyNumberFormat="1" applyFill="1" applyProtection="1">
      <alignment horizontal="center" vertical="center"/>
    </xf>
    <xf xxid="2159" numFmtId="169" fontId="17" fillId="16" borderId="19" xfId="0" applyAlignment="1" applyBorder="1" applyFont="1" applyNumberFormat="1" applyFill="1" applyProtection="1">
      <alignment horizontal="center" vertical="center"/>
    </xf>
    <xf xxid="2160" numFmtId="169" fontId="17" fillId="16" borderId="8" xfId="0" applyAlignment="1" applyBorder="1" applyFont="1" applyNumberFormat="1" applyFill="1" applyProtection="1">
      <alignment horizontal="center" vertical="center"/>
    </xf>
    <xf xxid="2161" numFmtId="169" fontId="17" fillId="0" borderId="9" xfId="0" applyAlignment="1" applyBorder="1" applyFont="1" applyNumberFormat="1" applyFill="1" applyProtection="1">
      <alignment vertical="center" wrapText="1"/>
      <protection locked="0"/>
    </xf>
    <xf xxid="2162" numFmtId="169" fontId="17" fillId="0" borderId="22" xfId="0" applyAlignment="1" applyBorder="1" applyFont="1" applyNumberFormat="1" applyFill="1" applyProtection="1">
      <alignment vertical="center" wrapText="1"/>
      <protection locked="0"/>
    </xf>
    <xf xxid="2163" numFmtId="0" fontId="17" fillId="0" borderId="23" xfId="0" applyAlignment="1" applyBorder="1" applyFont="1" applyNumberFormat="1" applyFill="1" applyProtection="1">
      <alignment horizontal="center" vertical="center"/>
      <protection locked="0"/>
    </xf>
    <xf xxid="2164" numFmtId="0" fontId="17" fillId="0" borderId="9" xfId="0" applyAlignment="1" applyBorder="1" applyFont="1" applyNumberFormat="1" applyFill="1" applyProtection="1">
      <alignment horizontal="center" vertical="center"/>
      <protection locked="0"/>
    </xf>
    <xf xxid="2165" numFmtId="0" fontId="17" fillId="0" borderId="22" xfId="0" applyAlignment="1" applyBorder="1" applyFont="1" applyNumberFormat="1" applyFill="1" applyProtection="1">
      <alignment horizontal="center" vertical="center"/>
      <protection locked="0"/>
    </xf>
    <xf xxid="2166" numFmtId="169" fontId="17" fillId="0" borderId="23" xfId="0" applyAlignment="1" applyBorder="1" applyFont="1" applyNumberFormat="1" applyFill="1" applyProtection="1">
      <alignment horizontal="center" vertical="center"/>
      <protection locked="0"/>
    </xf>
    <xf xxid="2167" numFmtId="169" fontId="17" fillId="0" borderId="22" xfId="0" applyAlignment="1" applyBorder="1" applyFont="1" applyNumberFormat="1" applyFill="1" applyProtection="1">
      <alignment horizontal="center" vertical="center"/>
      <protection locked="0"/>
    </xf>
    <xf xxid="2168" numFmtId="169" fontId="17" fillId="0" borderId="12" xfId="0" applyAlignment="1" applyBorder="1" applyFont="1" applyNumberFormat="1" applyFill="1" applyProtection="1">
      <alignment horizontal="center" vertical="center"/>
      <protection locked="0"/>
    </xf>
    <xf xxid="2169" numFmtId="169" fontId="17" fillId="0" borderId="9" xfId="0" applyAlignment="1" applyBorder="1" applyFont="1" applyNumberFormat="1" applyFill="1" applyProtection="1">
      <alignment horizontal="left"/>
      <protection locked="0"/>
    </xf>
    <xf xxid="2170" numFmtId="169" fontId="17" fillId="0" borderId="22" xfId="0" applyAlignment="1" applyBorder="1" applyFont="1" applyNumberFormat="1" applyFill="1" applyProtection="1">
      <alignment horizontal="left"/>
      <protection locked="0"/>
    </xf>
    <xf xxid="2171" numFmtId="169" fontId="17" fillId="0" borderId="0" xfId="0" applyAlignment="1" applyBorder="1" applyFont="1" applyNumberFormat="1" applyFill="1" applyProtection="1">
      <alignment horizontal="left"/>
      <protection locked="0"/>
    </xf>
    <xf xxid="2172" numFmtId="169" fontId="17" fillId="0" borderId="12" xfId="0" applyAlignment="1" applyBorder="1" applyFont="1" applyNumberFormat="1" applyFill="1" applyProtection="1">
      <alignment horizontal="left"/>
      <protection locked="0"/>
    </xf>
    <xf xxid="2173" numFmtId="169" fontId="17" fillId="0" borderId="23" xfId="0" applyAlignment="1" applyBorder="1" applyFont="1" applyNumberFormat="1" applyFill="1" applyProtection="1">
      <alignment vertical="center" wrapText="1"/>
      <protection locked="0"/>
    </xf>
    <xf xxid="2174" numFmtId="169" fontId="17" fillId="0" borderId="10" xfId="0" applyAlignment="1" applyBorder="1" applyFont="1" applyNumberFormat="1" applyFill="1" applyProtection="1">
      <alignment vertical="center" wrapText="1"/>
      <protection locked="0"/>
    </xf>
    <xf xxid="2175" numFmtId="0" fontId="17" fillId="0" borderId="9" xfId="0" applyAlignment="1" applyBorder="1" applyFont="1" applyNumberFormat="1" applyFill="1" applyProtection="1">
      <alignment horizontal="left" vertical="center" wrapText="1"/>
    </xf>
    <xf xxid="2176" numFmtId="0" fontId="17" fillId="0" borderId="22" xfId="0" applyAlignment="1" applyBorder="1" applyFont="1" applyNumberFormat="1" applyFill="1" applyProtection="1">
      <alignment horizontal="left" vertical="center" wrapText="1"/>
    </xf>
    <xf xxid="2177" numFmtId="49" fontId="17" fillId="0" borderId="23" xfId="0" applyAlignment="1" applyBorder="1" applyFont="1" applyNumberFormat="1" applyFill="1" applyProtection="1">
      <alignment horizontal="center" vertical="center"/>
    </xf>
    <xf xxid="2178" numFmtId="49" fontId="17" fillId="0" borderId="9" xfId="0" applyAlignment="1" applyBorder="1" applyFont="1" applyNumberFormat="1" applyFill="1" applyProtection="1">
      <alignment horizontal="center" vertical="center"/>
    </xf>
    <xf xxid="2179" numFmtId="49" fontId="17" fillId="0" borderId="22" xfId="0" applyAlignment="1" applyBorder="1" applyFont="1" applyNumberFormat="1" applyFill="1" applyProtection="1">
      <alignment horizontal="center" vertical="center"/>
    </xf>
    <xf xxid="2180" numFmtId="49" fontId="17" fillId="0" borderId="10" xfId="0" applyAlignment="1" applyBorder="1" applyFont="1" applyNumberFormat="1" applyFill="1" applyProtection="1">
      <alignment horizontal="center" vertical="center"/>
    </xf>
    <xf xxid="2181" numFmtId="49" fontId="17" fillId="0" borderId="0" xfId="0" applyAlignment="1" applyBorder="1" applyFont="1" applyNumberFormat="1" applyFill="1" applyProtection="1">
      <alignment horizontal="center" vertical="center"/>
    </xf>
    <xf xxid="2182" numFmtId="49" fontId="17" fillId="0" borderId="12" xfId="0" applyAlignment="1" applyBorder="1" applyFont="1" applyNumberFormat="1" applyFill="1" applyProtection="1">
      <alignment horizontal="center" vertical="center"/>
    </xf>
    <xf xxid="2183" numFmtId="169" fontId="17" fillId="0" borderId="134" xfId="0" applyAlignment="1" applyBorder="1" applyFont="1" applyNumberFormat="1" applyFill="1" applyProtection="1">
      <alignment horizontal="center" vertical="center"/>
    </xf>
    <xf xxid="2184" numFmtId="169" fontId="17" fillId="0" borderId="135" xfId="0" applyAlignment="1" applyBorder="1" applyFont="1" applyNumberFormat="1" applyFill="1" applyProtection="1">
      <alignment horizontal="center" vertical="center"/>
    </xf>
    <xf xxid="2185" numFmtId="169" fontId="17" fillId="0" borderId="136" xfId="0" applyAlignment="1" applyBorder="1" applyFont="1" applyNumberFormat="1" applyFill="1" applyProtection="1">
      <alignment horizontal="center" vertical="center"/>
    </xf>
    <xf xxid="2186" numFmtId="169" fontId="17" fillId="0" borderId="104" xfId="0" applyAlignment="1" applyBorder="1" applyFont="1" applyNumberFormat="1" applyFill="1" applyProtection="1">
      <alignment horizontal="center" vertical="center"/>
    </xf>
    <xf xxid="2187" numFmtId="169" fontId="17" fillId="0" borderId="137" xfId="0" applyAlignment="1" applyBorder="1" applyFont="1" applyNumberFormat="1" applyFill="1" applyProtection="1">
      <alignment horizontal="center" vertical="center"/>
    </xf>
    <xf xxid="2188" numFmtId="169" fontId="17" fillId="0" borderId="127" xfId="0" applyAlignment="1" applyBorder="1" applyFont="1" applyNumberFormat="1" applyFill="1" applyProtection="1">
      <alignment horizontal="center" vertical="center"/>
    </xf>
    <xf xxid="2189" numFmtId="169" fontId="17" fillId="0" borderId="132" xfId="0" applyAlignment="1" applyBorder="1" applyFont="1" applyNumberFormat="1" applyFill="1" applyProtection="1">
      <alignment horizontal="center" vertical="center"/>
    </xf>
    <xf xxid="2190" numFmtId="169" fontId="17" fillId="0" borderId="133" xfId="0" applyAlignment="1" applyBorder="1" applyFont="1" applyNumberFormat="1" applyFill="1" applyProtection="1">
      <alignment horizontal="center" vertical="center"/>
    </xf>
    <xf xxid="2191" numFmtId="169" fontId="17" fillId="0" borderId="32" xfId="0" applyAlignment="1" applyBorder="1" applyFont="1" applyNumberFormat="1" applyFill="1" applyProtection="1">
      <alignment horizontal="center" vertical="center"/>
    </xf>
    <xf xxid="2192" numFmtId="177" fontId="17" fillId="0" borderId="23" xfId="0" applyAlignment="1" applyBorder="1" applyFont="1" applyNumberFormat="1" applyFill="1" applyProtection="1">
      <alignment horizontal="center" vertical="center"/>
    </xf>
    <xf xxid="2193" numFmtId="177" fontId="17" fillId="0" borderId="9" xfId="0" applyAlignment="1" applyBorder="1" applyFont="1" applyNumberFormat="1" applyFill="1" applyProtection="1">
      <alignment horizontal="center" vertical="center"/>
    </xf>
    <xf xxid="2194" numFmtId="177" fontId="17" fillId="0" borderId="10" xfId="0" applyAlignment="1" applyBorder="1" applyFont="1" applyNumberFormat="1" applyFill="1" applyProtection="1">
      <alignment horizontal="center" vertical="center"/>
    </xf>
    <xf xxid="2195" numFmtId="177" fontId="17" fillId="0" borderId="0" xfId="0" applyAlignment="1" applyBorder="1" applyFont="1" applyNumberFormat="1" applyFill="1" applyProtection="1">
      <alignment horizontal="center" vertical="center"/>
    </xf>
    <xf xxid="2196" numFmtId="169" fontId="17" fillId="0" borderId="19" xfId="0" applyAlignment="1" applyBorder="1" applyFont="1" applyNumberFormat="1" applyFill="1" applyProtection="1">
      <alignment horizontal="left" vertical="center"/>
    </xf>
    <xf xxid="2197" numFmtId="169" fontId="17" fillId="0" borderId="8" xfId="0" applyAlignment="1" applyBorder="1" applyFont="1" applyNumberFormat="1" applyFill="1" applyProtection="1">
      <alignment horizontal="left" vertical="center"/>
    </xf>
    <xf xxid="2198" numFmtId="169" fontId="17" fillId="0" borderId="20" xfId="0" applyAlignment="1" applyBorder="1" applyFont="1" applyNumberFormat="1" applyFill="1" applyProtection="1">
      <alignment horizontal="left" vertical="center"/>
    </xf>
    <xf xxid="2199" numFmtId="49" fontId="17" fillId="0" borderId="19" xfId="0" applyAlignment="1" applyBorder="1" applyFont="1" applyNumberFormat="1" applyFill="1" applyProtection="1">
      <alignment horizontal="center" vertical="center"/>
    </xf>
    <xf xxid="2200" numFmtId="49" fontId="17" fillId="0" borderId="8" xfId="0" applyAlignment="1" applyBorder="1" applyFont="1" applyNumberFormat="1" applyFill="1" applyProtection="1">
      <alignment horizontal="center" vertical="center"/>
    </xf>
    <xf xxid="2201" numFmtId="49" fontId="17" fillId="0" borderId="20" xfId="0" applyAlignment="1" applyBorder="1" applyFont="1" applyNumberFormat="1" applyFill="1" applyProtection="1">
      <alignment horizontal="center" vertical="center"/>
    </xf>
    <xf xxid="2202" numFmtId="169" fontId="17" fillId="0" borderId="105" xfId="0" applyAlignment="1" applyBorder="1" applyFont="1" applyNumberFormat="1" applyFill="1" applyProtection="1">
      <alignment horizontal="center" vertical="center"/>
    </xf>
    <xf xxid="2203" numFmtId="169" fontId="17" fillId="0" borderId="138" xfId="0" applyAlignment="1" applyBorder="1" applyFont="1" applyNumberFormat="1" applyFill="1" applyProtection="1">
      <alignment horizontal="center" vertical="center"/>
    </xf>
    <xf xxid="2204" numFmtId="169" fontId="17" fillId="0" borderId="128" xfId="0" applyAlignment="1" applyBorder="1" applyFont="1" applyNumberFormat="1" applyFill="1" applyProtection="1">
      <alignment horizontal="center" vertical="center"/>
    </xf>
    <xf xxid="2205" numFmtId="0" fontId="97" fillId="0" borderId="0" xfId="13" applyAlignment="1" applyBorder="1" applyFont="1" applyNumberFormat="1" applyFill="1" applyProtection="1">
      <alignment horizontal="right"/>
    </xf>
    <xf xxid="2206" numFmtId="0" fontId="96" fillId="7" borderId="23" xfId="13" applyAlignment="1" applyBorder="1" applyFont="1" applyNumberFormat="1" applyFill="1" applyProtection="1">
      <alignment horizontal="center" vertical="center" wrapText="1"/>
    </xf>
    <xf xxid="2207" numFmtId="0" fontId="96" fillId="7" borderId="9" xfId="13" applyAlignment="1" applyBorder="1" applyFont="1" applyNumberFormat="1" applyFill="1" applyProtection="1">
      <alignment horizontal="center" vertical="center" wrapText="1"/>
    </xf>
    <xf xxid="2208" numFmtId="0" fontId="96" fillId="7" borderId="22" xfId="13" applyAlignment="1" applyBorder="1" applyFont="1" applyNumberFormat="1" applyFill="1" applyProtection="1">
      <alignment horizontal="center" vertical="center" wrapText="1"/>
    </xf>
    <xf xxid="2209" numFmtId="0" fontId="96" fillId="7" borderId="10" xfId="13" applyAlignment="1" applyBorder="1" applyFont="1" applyNumberFormat="1" applyFill="1" applyProtection="1">
      <alignment horizontal="center" vertical="center" wrapText="1"/>
    </xf>
    <xf xxid="2210" numFmtId="0" fontId="96" fillId="7" borderId="12" xfId="13" applyAlignment="1" applyBorder="1" applyFont="1" applyNumberFormat="1" applyFill="1" applyProtection="1">
      <alignment horizontal="center" vertical="center" wrapText="1"/>
    </xf>
    <xf xxid="2211" numFmtId="0" fontId="96" fillId="7" borderId="19" xfId="13" applyAlignment="1" applyBorder="1" applyFont="1" applyNumberFormat="1" applyFill="1" applyProtection="1">
      <alignment horizontal="center" vertical="center" wrapText="1"/>
    </xf>
    <xf xxid="2212" numFmtId="0" fontId="96" fillId="7" borderId="8" xfId="13" applyAlignment="1" applyBorder="1" applyFont="1" applyNumberFormat="1" applyFill="1" applyProtection="1">
      <alignment horizontal="center" vertical="center" wrapText="1"/>
    </xf>
    <xf xxid="2213" numFmtId="0" fontId="96" fillId="7" borderId="20" xfId="13" applyAlignment="1" applyBorder="1" applyFont="1" applyNumberFormat="1" applyFill="1" applyProtection="1">
      <alignment horizontal="center" vertical="center" wrapText="1"/>
    </xf>
    <xf xxid="2214" numFmtId="0" fontId="107" fillId="0" borderId="8" xfId="13" applyAlignment="1" applyBorder="1" applyFont="1" applyNumberFormat="1" applyFill="1" applyProtection="1">
      <alignment horizontal="center" wrapText="1"/>
    </xf>
    <xf xxid="2215" numFmtId="0" fontId="116" fillId="0" borderId="0" xfId="13" applyAlignment="1" applyBorder="1" applyFont="1" applyNumberFormat="1" applyFill="1" applyProtection="1">
      <alignment horizontal="center" vertical="center"/>
    </xf>
    <xf xxid="2216" numFmtId="172" fontId="92" fillId="0" borderId="8" xfId="13" applyAlignment="1" applyBorder="1" applyFont="1" applyNumberFormat="1" applyFill="1" applyProtection="1">
      <alignment horizontal="center" vertical="center"/>
    </xf>
    <xf xxid="2217" numFmtId="0" fontId="96" fillId="0" borderId="0" xfId="13" applyAlignment="1" applyBorder="1" applyFont="1" applyNumberFormat="1" applyFill="1" applyProtection="1">
      <alignment horizontal="center" vertical="center"/>
    </xf>
    <xf xxid="2218" numFmtId="0" fontId="92" fillId="0" borderId="9" xfId="13" applyAlignment="1" applyBorder="1" applyFont="1" applyNumberFormat="1" applyFill="1" applyProtection="1">
      <alignment horizontal="left" wrapText="1"/>
    </xf>
    <xf xxid="2219" numFmtId="0" fontId="96" fillId="0" borderId="8" xfId="13" applyAlignment="1" applyBorder="1" applyFont="1" applyNumberFormat="1" applyFill="1" applyProtection="1">
      <alignment horizontal="center" vertical="center" wrapText="1"/>
    </xf>
    <xf xxid="2220" numFmtId="0" fontId="96" fillId="0" borderId="0" xfId="13" applyAlignment="1" applyBorder="1" applyFont="1" applyNumberFormat="1" applyFill="1" applyProtection="1">
      <alignment horizontal="left" vertical="center" wrapText="1"/>
    </xf>
    <xf xxid="2221" numFmtId="0" fontId="6" fillId="7" borderId="24" xfId="13" applyAlignment="1" applyBorder="1" applyFont="1" applyNumberFormat="1" applyFill="1" applyProtection="1">
      <alignment horizontal="center" vertical="center" wrapText="1"/>
    </xf>
    <xf xxid="2222" numFmtId="0" fontId="6" fillId="7" borderId="30" xfId="13" applyAlignment="1" applyBorder="1" applyFont="1" applyNumberFormat="1" applyFill="1" applyProtection="1">
      <alignment horizontal="center" vertical="center" wrapText="1"/>
    </xf>
    <xf xxid="2223" numFmtId="0" fontId="6" fillId="7" borderId="24" xfId="13" applyAlignment="1" applyBorder="1" applyFont="1" applyNumberFormat="1" applyFill="1" applyProtection="1">
      <alignment horizontal="left" vertical="center" wrapText="1"/>
    </xf>
    <xf xxid="2224" numFmtId="169" fontId="97" fillId="7" borderId="24" xfId="1" applyAlignment="1" applyBorder="1" applyFont="1" applyNumberFormat="1" applyFill="1" applyProtection="1">
      <alignment horizontal="center" vertical="center" wrapText="1"/>
    </xf>
    <xf xxid="2225" numFmtId="169" fontId="97" fillId="7" borderId="21" xfId="1" applyAlignment="1" applyBorder="1" applyFont="1" applyNumberFormat="1" applyFill="1" applyProtection="1">
      <alignment horizontal="center" vertical="center" wrapText="1"/>
    </xf>
    <xf xxid="2226" numFmtId="0" fontId="6" fillId="0" borderId="24" xfId="13" applyAlignment="1" applyBorder="1" applyFont="1" applyNumberFormat="1" applyFill="1" applyProtection="1">
      <alignment horizontal="left" vertical="center"/>
    </xf>
    <xf xxid="2227" numFmtId="0" fontId="6" fillId="0" borderId="21" xfId="13" applyAlignment="1" applyBorder="1" applyFont="1" applyNumberFormat="1" applyFill="1" applyProtection="1">
      <alignment horizontal="left" vertical="center"/>
    </xf>
    <xf xxid="2228" numFmtId="0" fontId="6" fillId="0" borderId="30" xfId="13" applyAlignment="1" applyBorder="1" applyFont="1" applyNumberFormat="1" applyFill="1" applyProtection="1">
      <alignment horizontal="left" vertical="center"/>
    </xf>
    <xf xxid="2229" numFmtId="169" fontId="15" fillId="7" borderId="24" xfId="1" applyAlignment="1" applyBorder="1" applyFont="1" applyNumberFormat="1" applyFill="1" applyProtection="1">
      <alignment horizontal="center" vertical="center"/>
    </xf>
    <xf xxid="2230" numFmtId="169" fontId="15" fillId="7" borderId="21" xfId="1" applyAlignment="1" applyBorder="1" applyFont="1" applyNumberFormat="1" applyFill="1" applyProtection="1">
      <alignment horizontal="center" vertical="center"/>
    </xf>
    <xf xxid="2231" numFmtId="0" fontId="6" fillId="7" borderId="30" xfId="13" applyAlignment="1" applyBorder="1" applyFont="1" applyNumberFormat="1" applyFill="1" applyProtection="1">
      <alignment horizontal="left" vertical="center" wrapText="1"/>
    </xf>
    <xf xxid="2232" numFmtId="0" fontId="10" fillId="7" borderId="24" xfId="13" applyAlignment="1" applyBorder="1" applyFont="1" applyNumberFormat="1" applyFill="1" applyProtection="1">
      <alignment horizontal="left" vertical="center" wrapText="1"/>
    </xf>
    <xf xxid="2233" numFmtId="0" fontId="10" fillId="7" borderId="21" xfId="13" applyAlignment="1" applyBorder="1" applyFont="1" applyNumberFormat="1" applyFill="1" applyProtection="1">
      <alignment horizontal="left" vertical="center" wrapText="1"/>
    </xf>
    <xf xxid="2234" numFmtId="169" fontId="97" fillId="28" borderId="24" xfId="1" applyAlignment="1" applyBorder="1" applyFont="1" applyNumberFormat="1" applyFill="1" applyProtection="1">
      <alignment horizontal="center" vertical="center" wrapText="1"/>
    </xf>
    <xf xxid="2235" numFmtId="169" fontId="97" fillId="28" borderId="21" xfId="1" applyAlignment="1" applyBorder="1" applyFont="1" applyNumberFormat="1" applyFill="1" applyProtection="1">
      <alignment horizontal="center" vertical="center" wrapText="1"/>
    </xf>
    <xf xxid="2236" numFmtId="169" fontId="97" fillId="28" borderId="30" xfId="1" applyAlignment="1" applyBorder="1" applyFont="1" applyNumberFormat="1" applyFill="1" applyProtection="1">
      <alignment horizontal="center" vertical="center" wrapText="1"/>
    </xf>
    <xf xxid="2237" numFmtId="0" fontId="9" fillId="7" borderId="24" xfId="13" applyAlignment="1" applyBorder="1" applyFont="1" applyNumberFormat="1" applyFill="1" applyProtection="1">
      <alignment horizontal="center" vertical="center" wrapText="1"/>
    </xf>
    <xf xxid="2238" numFmtId="0" fontId="9" fillId="7" borderId="30" xfId="13" applyAlignment="1" applyBorder="1" applyFont="1" applyNumberFormat="1" applyFill="1" applyProtection="1">
      <alignment horizontal="center" vertical="center" wrapText="1"/>
    </xf>
    <xf xxid="2239" numFmtId="0" fontId="6" fillId="7" borderId="24" xfId="13" applyAlignment="1" applyBorder="1" applyFont="1" applyNumberFormat="1" applyFill="1" applyProtection="1">
      <alignment vertical="center" wrapText="1"/>
    </xf>
    <xf xxid="2240" numFmtId="0" fontId="6" fillId="7" borderId="30" xfId="13" applyAlignment="1" applyBorder="1" applyFont="1" applyNumberFormat="1" applyFill="1" applyProtection="1">
      <alignment vertical="center" wrapText="1"/>
    </xf>
    <xf xxid="2241" numFmtId="0" fontId="7" fillId="7" borderId="21" xfId="13" applyAlignment="1" applyBorder="1" applyFont="1" applyNumberFormat="1" applyFill="1" applyProtection="1">
      <alignment vertical="center" wrapText="1"/>
    </xf>
    <xf xxid="2242" numFmtId="0" fontId="7" fillId="7" borderId="30" xfId="13" applyAlignment="1" applyBorder="1" applyFont="1" applyNumberFormat="1" applyFill="1" applyProtection="1">
      <alignment vertical="center" wrapText="1"/>
    </xf>
    <xf xxid="2243" numFmtId="188" fontId="96" fillId="7" borderId="24" xfId="13" applyAlignment="1" applyBorder="1" applyFont="1" applyNumberFormat="1" applyFill="1" applyProtection="1">
      <alignment horizontal="left" vertical="center" wrapText="1"/>
    </xf>
    <xf xxid="2244" numFmtId="188" fontId="96" fillId="7" borderId="21" xfId="13" applyAlignment="1" applyBorder="1" applyFont="1" applyNumberFormat="1" applyFill="1" applyProtection="1">
      <alignment horizontal="left" vertical="center" wrapText="1"/>
    </xf>
    <xf xxid="2245" numFmtId="0" fontId="113" fillId="23" borderId="24" xfId="13" applyAlignment="1" applyBorder="1" applyFont="1" applyNumberFormat="1" applyFill="1" applyProtection="1">
      <alignment horizontal="center" vertical="center"/>
    </xf>
    <xf xxid="2246" numFmtId="0" fontId="113" fillId="23" borderId="21" xfId="13" applyAlignment="1" applyBorder="1" applyFont="1" applyNumberFormat="1" applyFill="1" applyProtection="1">
      <alignment horizontal="center" vertical="center"/>
    </xf>
    <xf xxid="2247" numFmtId="0" fontId="113" fillId="23" borderId="30" xfId="13" applyAlignment="1" applyBorder="1" applyFont="1" applyNumberFormat="1" applyFill="1" applyProtection="1">
      <alignment horizontal="center" vertical="center"/>
    </xf>
    <xf xxid="2248" numFmtId="0" fontId="119" fillId="0" borderId="24" xfId="13" applyAlignment="1" applyBorder="1" applyFont="1" applyNumberFormat="1" applyFill="1" applyProtection="1">
      <alignment horizontal="center" vertical="center" wrapText="1"/>
    </xf>
    <xf xxid="2249" numFmtId="0" fontId="15" fillId="0" borderId="21" xfId="13" applyAlignment="1" applyBorder="1" applyFont="1" applyNumberFormat="1" applyFill="1" applyProtection="1">
      <alignment horizontal="center" vertical="center" wrapText="1"/>
    </xf>
    <xf xxid="2250" numFmtId="0" fontId="15" fillId="0" borderId="30" xfId="13" applyAlignment="1" applyBorder="1" applyFont="1" applyNumberFormat="1" applyFill="1" applyProtection="1">
      <alignment horizontal="center" vertical="center" wrapText="1"/>
    </xf>
    <xf xxid="2251" numFmtId="188" fontId="10" fillId="0" borderId="24" xfId="13" applyAlignment="1" applyBorder="1" applyFont="1" applyNumberFormat="1" applyFill="1" applyProtection="1">
      <alignment horizontal="center" vertical="center" wrapText="1"/>
    </xf>
    <xf xxid="2252" numFmtId="188" fontId="10" fillId="0" borderId="21" xfId="13" applyAlignment="1" applyBorder="1" applyFont="1" applyNumberFormat="1" applyFill="1" applyProtection="1">
      <alignment horizontal="center" vertical="center" wrapText="1"/>
    </xf>
    <xf xxid="2253" numFmtId="188" fontId="10" fillId="0" borderId="30" xfId="13" applyAlignment="1" applyBorder="1" applyFont="1" applyNumberFormat="1" applyFill="1" applyProtection="1">
      <alignment horizontal="center" vertical="center" wrapText="1"/>
    </xf>
    <xf xxid="2254" numFmtId="188" fontId="10" fillId="0" borderId="10" xfId="13" applyAlignment="1" applyBorder="1" applyFont="1" applyNumberFormat="1" applyFill="1" applyProtection="1">
      <alignment horizontal="left" vertical="center" wrapText="1"/>
    </xf>
    <xf xxid="2255" numFmtId="188" fontId="10" fillId="0" borderId="0" xfId="13" applyAlignment="1" applyBorder="1" applyFont="1" applyNumberFormat="1" applyFill="1" applyProtection="1">
      <alignment horizontal="left" vertical="center" wrapText="1"/>
    </xf>
    <xf xxid="2256" numFmtId="188" fontId="10" fillId="0" borderId="10" xfId="13" applyAlignment="1" applyBorder="1" applyFont="1" applyNumberFormat="1" applyFill="1" applyProtection="1">
      <alignment horizontal="center" vertical="center" wrapText="1"/>
    </xf>
    <xf xxid="2257" numFmtId="188" fontId="10" fillId="0" borderId="0" xfId="13" applyAlignment="1" applyBorder="1" applyFont="1" applyNumberFormat="1" applyFill="1" applyProtection="1">
      <alignment horizontal="center" vertical="center" wrapText="1"/>
    </xf>
    <xf xxid="2258" numFmtId="188" fontId="10" fillId="0" borderId="12" xfId="13" applyAlignment="1" applyBorder="1" applyFont="1" applyNumberFormat="1" applyFill="1" applyProtection="1">
      <alignment horizontal="center" vertical="center" wrapText="1"/>
    </xf>
    <xf xxid="2259" numFmtId="0" fontId="111" fillId="7" borderId="0" xfId="13" applyAlignment="1" applyBorder="1" applyFont="1" applyNumberFormat="1" applyFill="1" applyProtection="1">
      <alignment horizontal="center" wrapText="1"/>
    </xf>
    <xf xxid="2260" numFmtId="0" fontId="111" fillId="7" borderId="12" xfId="13" applyAlignment="1" applyBorder="1" applyFont="1" applyNumberFormat="1" applyFill="1" applyProtection="1">
      <alignment horizontal="center" wrapText="1"/>
    </xf>
    <xf xxid="2261" numFmtId="0" fontId="109" fillId="0" borderId="24" xfId="13" applyAlignment="1" applyBorder="1" applyFont="1" applyNumberFormat="1" applyFill="1" applyProtection="1">
      <alignment horizontal="center" vertical="center"/>
    </xf>
    <xf xxid="2262" numFmtId="0" fontId="109" fillId="0" borderId="21" xfId="13" applyAlignment="1" applyBorder="1" applyFont="1" applyNumberFormat="1" applyFill="1" applyProtection="1">
      <alignment horizontal="center" vertical="center"/>
    </xf>
    <xf xxid="2263" numFmtId="0" fontId="109" fillId="0" borderId="30" xfId="13" applyAlignment="1" applyBorder="1" applyFont="1" applyNumberFormat="1" applyFill="1" applyProtection="1">
      <alignment horizontal="center" vertical="center"/>
    </xf>
    <xf xxid="2264" numFmtId="0" fontId="110" fillId="0" borderId="24" xfId="13" applyAlignment="1" applyBorder="1" applyFont="1" applyNumberFormat="1" applyFill="1" applyProtection="1">
      <alignment horizontal="center" vertical="center"/>
    </xf>
    <xf xxid="2265" numFmtId="0" fontId="110" fillId="0" borderId="21" xfId="13" applyAlignment="1" applyBorder="1" applyFont="1" applyNumberFormat="1" applyFill="1" applyProtection="1">
      <alignment horizontal="center" vertical="center"/>
    </xf>
    <xf xxid="2266" numFmtId="0" fontId="110" fillId="0" borderId="30" xfId="13" applyAlignment="1" applyBorder="1" applyFont="1" applyNumberFormat="1" applyFill="1" applyProtection="1">
      <alignment horizontal="center" vertical="center"/>
    </xf>
    <xf xxid="2267" numFmtId="0" fontId="10" fillId="0" borderId="6" xfId="13" applyAlignment="1" applyBorder="1" applyFont="1" applyNumberFormat="1" applyFill="1" applyProtection="1">
      <alignment horizontal="left" wrapText="1"/>
    </xf>
    <xf xxid="2268" numFmtId="0" fontId="11" fillId="7" borderId="12" xfId="13" applyAlignment="1" applyBorder="1" applyFont="1" applyNumberFormat="1" applyFill="1" applyProtection="1">
      <alignment horizontal="center" wrapText="1"/>
    </xf>
    <xf xxid="2269" numFmtId="0" fontId="11" fillId="0" borderId="24" xfId="13" applyAlignment="1" applyBorder="1" applyFont="1" applyNumberFormat="1" applyFill="1" applyProtection="1">
      <alignment horizontal="center"/>
    </xf>
    <xf xxid="2270" numFmtId="0" fontId="11" fillId="0" borderId="30" xfId="13" applyAlignment="1" applyBorder="1" applyFont="1" applyNumberFormat="1" applyFill="1" applyProtection="1">
      <alignment horizontal="center"/>
    </xf>
    <xf xxid="2271" numFmtId="0" fontId="23" fillId="0" borderId="10" xfId="13" applyAlignment="1" applyBorder="1" applyFont="1" applyNumberFormat="1" applyFill="1" applyProtection="1">
      <alignment horizontal="center" vertical="center" wrapText="1"/>
    </xf>
    <xf xxid="2272" numFmtId="0" fontId="23" fillId="0" borderId="0" xfId="13" applyAlignment="1" applyBorder="1" applyFont="1" applyNumberFormat="1" applyFill="1" applyProtection="1">
      <alignment horizontal="center" vertical="center" wrapText="1"/>
    </xf>
    <xf xxid="2273" numFmtId="0" fontId="109" fillId="7" borderId="8" xfId="13" applyAlignment="1" applyBorder="1" applyFont="1" applyNumberFormat="1" applyFill="1" applyProtection="1">
      <alignment horizontal="center" wrapText="1"/>
    </xf>
    <xf xxid="2274" numFmtId="0" fontId="110" fillId="0" borderId="0" xfId="13" applyAlignment="1" applyBorder="1" applyFont="1" applyNumberFormat="1" applyFill="1" applyProtection="1">
      <alignment horizontal="center" vertical="center"/>
    </xf>
    <xf xxid="2275" numFmtId="0" fontId="110" fillId="0" borderId="8" xfId="13" applyAlignment="1" applyBorder="1" applyFont="1" applyNumberFormat="1" applyFill="1" applyProtection="1">
      <alignment horizontal="center" vertical="center"/>
    </xf>
    <xf xxid="2276" numFmtId="0" fontId="11" fillId="7" borderId="4" xfId="13" applyAlignment="1" applyBorder="1" applyFont="1" applyNumberFormat="1" applyFill="1" applyProtection="1">
      <alignment horizontal="center" vertical="top" wrapText="1"/>
    </xf>
    <xf xxid="2277" numFmtId="0" fontId="11" fillId="7" borderId="0" xfId="13" applyAlignment="1" applyBorder="1" applyFont="1" applyNumberFormat="1" applyFill="1" applyProtection="1">
      <alignment horizontal="center" vertical="top" wrapText="1"/>
    </xf>
    <xf xxid="2278" numFmtId="0" fontId="11" fillId="7" borderId="0" xfId="13" applyAlignment="1" applyBorder="1" applyFont="1" applyNumberFormat="1" applyFill="1" applyProtection="1">
      <alignment horizontal="left" vertical="top" wrapText="1"/>
    </xf>
    <xf xxid="2279" numFmtId="0" fontId="109" fillId="7" borderId="0" xfId="13" applyAlignment="1" applyBorder="1" applyFont="1" applyNumberFormat="1" applyFill="1" applyProtection="1">
      <alignment horizontal="center" wrapText="1"/>
    </xf>
    <xf xxid="2280" numFmtId="0" fontId="110" fillId="7" borderId="0" xfId="13" applyAlignment="1" applyBorder="1" applyFont="1" applyNumberFormat="1" applyFill="1" applyProtection="1">
      <alignment horizontal="center" vertical="center" wrapText="1"/>
    </xf>
    <xf xxid="2281" numFmtId="0" fontId="5" fillId="0" borderId="0" xfId="13" applyAlignment="1" applyBorder="1" applyFont="1" applyNumberFormat="1" applyFill="1" applyProtection="1">
      <alignment horizontal="center" vertical="center"/>
    </xf>
    <xf xxid="2282" numFmtId="0" fontId="5" fillId="0" borderId="8" xfId="13" applyAlignment="1" applyBorder="1" applyFont="1" applyNumberFormat="1" applyFill="1" applyProtection="1">
      <alignment horizontal="center" vertical="center"/>
    </xf>
    <xf xxid="2283" numFmtId="169" fontId="5" fillId="0" borderId="0" xfId="1" applyAlignment="1" applyBorder="1" applyFont="1" applyNumberFormat="1" applyFill="1" applyProtection="1">
      <alignment horizontal="center" vertical="center"/>
    </xf>
    <xf xxid="2284" numFmtId="169" fontId="5" fillId="0" borderId="8" xfId="1" applyAlignment="1" applyBorder="1" applyFont="1" applyNumberFormat="1" applyFill="1" applyProtection="1">
      <alignment horizontal="center" vertical="center"/>
    </xf>
    <xf xxid="2285" numFmtId="0" fontId="109" fillId="0" borderId="0" xfId="13" applyAlignment="1" applyBorder="1" applyFont="1" applyNumberFormat="1" applyFill="1" applyProtection="1">
      <alignment horizontal="center"/>
    </xf>
    <xf xxid="2286" numFmtId="0" fontId="5" fillId="0" borderId="8" xfId="13" applyAlignment="1" applyBorder="1" applyFont="1" applyNumberFormat="1" applyFill="1" applyProtection="1">
      <alignment horizontal="left" vertical="center"/>
    </xf>
    <xf xxid="2287" numFmtId="0" fontId="11" fillId="0" borderId="8" xfId="13" applyAlignment="1" applyBorder="1" applyFont="1" applyNumberFormat="1" applyFill="1" applyProtection="1">
      <alignment horizontal="center" vertical="center"/>
    </xf>
    <xf xxid="2288" numFmtId="0" fontId="11" fillId="0" borderId="0" xfId="13" applyAlignment="1" applyBorder="1" applyFont="1" applyNumberFormat="1" applyFill="1" applyProtection="1">
      <alignment horizontal="left" wrapText="1"/>
    </xf>
    <xf xxid="2289" numFmtId="0" fontId="111" fillId="7" borderId="8" xfId="13" applyAlignment="1" applyBorder="1" applyFont="1" applyNumberFormat="1" applyFill="1" applyProtection="1">
      <alignment horizontal="center" wrapText="1"/>
    </xf>
    <xf xxid="2290" numFmtId="0" fontId="92" fillId="0" borderId="0" xfId="13" applyAlignment="1" applyBorder="1" applyFont="1" applyNumberFormat="1" applyFill="1" applyProtection="1">
      <alignment horizontal="left"/>
    </xf>
    <xf xxid="2291" numFmtId="0" fontId="5" fillId="7" borderId="8" xfId="13" applyAlignment="1" applyBorder="1" applyFont="1" applyNumberFormat="1" applyFill="1" applyProtection="1">
      <alignment horizontal="left" vertical="center" wrapText="1"/>
    </xf>
    <xf xxid="2292" numFmtId="0" fontId="11" fillId="7" borderId="5" xfId="13" applyAlignment="1" applyBorder="1" applyFont="1" applyNumberFormat="1" applyFill="1" applyProtection="1">
      <alignment horizontal="left" vertical="center" wrapText="1"/>
    </xf>
    <xf xxid="2293" numFmtId="0" fontId="104" fillId="7" borderId="0" xfId="13" applyAlignment="1" applyBorder="1" applyFont="1" applyNumberFormat="1" applyFill="1" applyProtection="1">
      <alignment horizontal="left" wrapText="1"/>
    </xf>
    <xf xxid="2294" numFmtId="0" fontId="92" fillId="7" borderId="8" xfId="13" applyAlignment="1" applyBorder="1" applyFont="1" applyNumberFormat="1" applyFill="1" applyProtection="1">
      <alignment horizontal="left" vertical="center" wrapText="1"/>
    </xf>
    <xf xxid="2295" numFmtId="0" fontId="105" fillId="7" borderId="0" xfId="13" applyAlignment="1" applyBorder="1" applyFont="1" applyNumberFormat="1" applyFill="1" applyProtection="1">
      <alignment horizontal="left" wrapText="1"/>
    </xf>
    <xf xxid="2296" numFmtId="0" fontId="9" fillId="7" borderId="0" xfId="13" applyAlignment="1" applyBorder="1" applyFont="1" applyNumberFormat="1" applyFill="1" applyProtection="1">
      <alignment horizontal="left" vertical="center" wrapText="1"/>
    </xf>
    <xf xxid="2297" numFmtId="0" fontId="107" fillId="7" borderId="0" xfId="13" applyAlignment="1" applyBorder="1" applyFont="1" applyNumberFormat="1" applyFill="1" applyProtection="1">
      <alignment horizontal="left" wrapText="1"/>
    </xf>
    <xf xxid="2298" numFmtId="0" fontId="91" fillId="0" borderId="94" xfId="13" applyAlignment="1" applyBorder="1" applyFont="1" applyNumberFormat="1" applyFill="1" applyProtection="1">
      <alignment horizontal="left" vertical="center"/>
    </xf>
    <xf xxid="2299" numFmtId="0" fontId="5" fillId="0" borderId="4" xfId="13" applyAlignment="1" applyBorder="1" applyFont="1" applyNumberFormat="1" applyFill="1" applyProtection="1">
      <alignment horizontal="center" vertical="center" wrapText="1"/>
    </xf>
    <xf xxid="2300" numFmtId="0" fontId="5" fillId="0" borderId="0" xfId="13" applyAlignment="1" applyBorder="1" applyFont="1" applyNumberFormat="1" applyFill="1" applyProtection="1">
      <alignment horizontal="center" vertical="center" wrapText="1"/>
    </xf>
    <xf xxid="2301" numFmtId="0" fontId="5" fillId="0" borderId="5" xfId="13" applyAlignment="1" applyBorder="1" applyFont="1" applyNumberFormat="1" applyFill="1" applyProtection="1">
      <alignment horizontal="center" vertical="center" wrapText="1"/>
    </xf>
    <xf xxid="2302" numFmtId="0" fontId="5" fillId="0" borderId="14" xfId="13" applyAlignment="1" applyBorder="1" applyFont="1" applyNumberFormat="1" applyFill="1" applyProtection="1">
      <alignment horizontal="center" vertical="center" wrapText="1"/>
    </xf>
    <xf xxid="2303" numFmtId="0" fontId="5" fillId="0" borderId="1" xfId="13" applyAlignment="1" applyBorder="1" applyFont="1" applyNumberFormat="1" applyFill="1" applyProtection="1">
      <alignment horizontal="center" vertical="center" wrapText="1"/>
    </xf>
    <xf xxid="2304" numFmtId="0" fontId="5" fillId="0" borderId="3" xfId="13" applyAlignment="1" applyBorder="1" applyFont="1" applyNumberFormat="1" applyFill="1" applyProtection="1">
      <alignment horizontal="center" vertical="center" wrapText="1"/>
    </xf>
    <xf xxid="2305" numFmtId="0" fontId="19" fillId="0" borderId="0" xfId="13" applyAlignment="1" applyBorder="1" applyFont="1" applyNumberFormat="1" applyFill="1" applyProtection="1">
      <alignment horizontal="right"/>
    </xf>
    <xf xxid="2306" numFmtId="0" fontId="6" fillId="0" borderId="4" xfId="13" applyAlignment="1" applyBorder="1" applyFont="1" applyNumberFormat="1" applyFill="1" applyProtection="1">
      <alignment horizontal="left" vertical="center" wrapText="1"/>
    </xf>
    <xf xxid="2307" numFmtId="0" fontId="6" fillId="0" borderId="0" xfId="13" applyAlignment="1" applyBorder="1" applyFont="1" applyNumberFormat="1" applyFill="1" applyProtection="1">
      <alignment horizontal="left" vertical="center" wrapText="1"/>
    </xf>
    <xf xxid="2308" numFmtId="0" fontId="10" fillId="0" borderId="0" xfId="13" applyAlignment="1" applyBorder="1" applyFont="1" applyNumberFormat="1" applyFill="1" applyProtection="1">
      <alignment horizontal="center"/>
    </xf>
    <xf xxid="2309" numFmtId="0" fontId="97" fillId="0" borderId="0" xfId="13" applyAlignment="1" applyBorder="1" applyFont="1" applyNumberFormat="1" applyFill="1" applyProtection="1">
      <alignment horizontal="center" wrapText="1"/>
    </xf>
    <xf xxid="2310" numFmtId="0" fontId="97" fillId="0" borderId="5" xfId="13" applyAlignment="1" applyBorder="1" applyFont="1" applyNumberFormat="1" applyFill="1" applyProtection="1">
      <alignment horizontal="center" wrapText="1"/>
    </xf>
    <xf xxid="2311" numFmtId="0" fontId="5" fillId="0" borderId="6" xfId="13" applyAlignment="1" applyBorder="1" applyFont="1" applyNumberFormat="1" applyFill="1" applyProtection="1">
      <alignment horizontal="center" wrapText="1"/>
    </xf>
    <xf xxid="2312" numFmtId="0" fontId="5" fillId="0" borderId="8" xfId="13" applyAlignment="1" applyBorder="1" applyFont="1" applyNumberFormat="1" applyFill="1" applyProtection="1">
      <alignment horizontal="center" wrapText="1"/>
    </xf>
    <xf xxid="2313" numFmtId="0" fontId="10" fillId="0" borderId="4" xfId="13" applyAlignment="1" applyBorder="1" applyFont="1" applyNumberFormat="1" applyFill="1" applyProtection="1">
      <alignment horizontal="center" vertical="top"/>
    </xf>
    <xf xxid="2314" numFmtId="0" fontId="10" fillId="0" borderId="0" xfId="13" applyAlignment="1" applyBorder="1" applyFont="1" applyNumberFormat="1" applyFill="1" applyProtection="1">
      <alignment horizontal="center" vertical="top"/>
    </xf>
    <xf xxid="2315" numFmtId="0" fontId="97" fillId="0" borderId="0" xfId="13" applyAlignment="1" applyBorder="1" applyFont="1" applyNumberFormat="1" applyFill="1" applyProtection="1">
      <alignment horizontal="center" vertical="top" wrapText="1"/>
    </xf>
    <xf xxid="2316" numFmtId="0" fontId="97" fillId="0" borderId="5" xfId="13" applyAlignment="1" applyBorder="1" applyFont="1" applyNumberFormat="1" applyFill="1" applyProtection="1">
      <alignment horizontal="center" vertical="top" wrapText="1"/>
    </xf>
    <xf xxid="2317" numFmtId="0" fontId="97" fillId="0" borderId="1" xfId="13" applyAlignment="1" applyBorder="1" applyFont="1" applyNumberFormat="1" applyFill="1" applyProtection="1">
      <alignment horizontal="center" vertical="top" wrapText="1"/>
    </xf>
    <xf xxid="2318" numFmtId="0" fontId="97" fillId="0" borderId="3" xfId="13" applyAlignment="1" applyBorder="1" applyFont="1" applyNumberFormat="1" applyFill="1" applyProtection="1">
      <alignment horizontal="center" vertical="top" wrapText="1"/>
    </xf>
    <xf xxid="2319" numFmtId="0" fontId="15" fillId="0" borderId="4" xfId="13" applyAlignment="1" applyBorder="1" applyFont="1" applyNumberFormat="1" applyFill="1" applyProtection="1">
      <alignment horizontal="center" vertical="center" wrapText="1"/>
    </xf>
    <xf xxid="2320" numFmtId="0" fontId="12" fillId="0" borderId="0" xfId="13" applyAlignment="1" applyBorder="1" applyFont="1" applyNumberFormat="1" applyFill="1" applyProtection="1">
      <alignment horizontal="center" vertical="center" wrapText="1"/>
    </xf>
    <xf xxid="2321" numFmtId="0" fontId="12" fillId="0" borderId="0" xfId="13" applyAlignment="1" applyBorder="1" applyFont="1" applyNumberFormat="1" applyFill="1" applyProtection="1">
      <alignment horizontal="center"/>
    </xf>
    <xf xxid="2322" numFmtId="187" fontId="15" fillId="0" borderId="8" xfId="13" applyAlignment="1" applyBorder="1" applyFont="1" applyNumberFormat="1" applyFill="1" applyProtection="1">
      <alignment horizontal="center"/>
    </xf>
    <xf xxid="2323" numFmtId="0" fontId="101" fillId="0" borderId="0" xfId="13" applyAlignment="1" applyBorder="1" applyFont="1" applyNumberFormat="1" applyFill="1" applyProtection="1">
      <alignment horizontal="center"/>
    </xf>
    <xf xxid="2324" numFmtId="0" fontId="92" fillId="0" borderId="4" xfId="13" applyAlignment="1" applyBorder="1" applyFont="1" applyNumberFormat="1" applyFill="1" applyProtection="1">
      <alignment horizontal="center" vertical="center" wrapText="1"/>
    </xf>
    <xf xxid="2325" numFmtId="0" fontId="92" fillId="0" borderId="5" xfId="13" applyAlignment="1" applyBorder="1" applyFont="1" applyNumberFormat="1" applyFill="1" applyProtection="1">
      <alignment horizontal="center" vertical="center" wrapText="1"/>
    </xf>
    <xf xxid="2326" numFmtId="0" fontId="92" fillId="0" borderId="14" xfId="13" applyAlignment="1" applyBorder="1" applyFont="1" applyNumberFormat="1" applyFill="1" applyProtection="1">
      <alignment horizontal="center" vertical="center" wrapText="1"/>
    </xf>
    <xf xxid="2327" numFmtId="0" fontId="92" fillId="0" borderId="3" xfId="13" applyAlignment="1" applyBorder="1" applyFont="1" applyNumberFormat="1" applyFill="1" applyProtection="1">
      <alignment horizontal="center" vertical="center" wrapText="1"/>
    </xf>
    <xf xxid="2328" numFmtId="0" fontId="93" fillId="0" borderId="0" xfId="13" applyAlignment="1" applyBorder="1" applyFont="1" applyNumberFormat="1" applyFill="1" applyProtection="1">
      <alignment horizontal="right"/>
    </xf>
    <xf xxid="2329" numFmtId="0" fontId="99" fillId="0" borderId="0" xfId="13" applyAlignment="1" applyBorder="1" applyFont="1" applyNumberFormat="1" applyFill="1" applyProtection="1">
      <alignment horizontal="center" vertical="center" wrapText="1"/>
    </xf>
    <xf xxid="2330" numFmtId="169" fontId="62" fillId="6" borderId="10" xfId="19" applyAlignment="1" applyBorder="1" applyFont="1" applyNumberFormat="1" applyFill="1" applyProtection="1">
      <alignment horizontal="center"/>
      <protection hidden="1" locked="0"/>
    </xf>
    <xf xxid="2331" numFmtId="169" fontId="62" fillId="6" borderId="0" xfId="19" applyAlignment="1" applyBorder="1" applyFont="1" applyNumberFormat="1" applyFill="1" applyProtection="1">
      <alignment horizontal="center"/>
      <protection hidden="1" locked="0"/>
    </xf>
    <xf xxid="2332" numFmtId="169" fontId="62" fillId="6" borderId="12" xfId="19" applyAlignment="1" applyBorder="1" applyFont="1" applyNumberFormat="1" applyFill="1" applyProtection="1">
      <alignment horizontal="center"/>
      <protection hidden="1" locked="0"/>
    </xf>
    <xf xxid="2333" numFmtId="0" fontId="62" fillId="6" borderId="63" xfId="16" applyAlignment="1" applyBorder="1" applyFont="1" applyNumberFormat="1" applyFill="1" applyProtection="1">
      <alignment horizontal="center" vertical="top"/>
      <protection hidden="1" locked="0"/>
    </xf>
    <xf xxid="2334" numFmtId="0" fontId="62" fillId="6" borderId="6" xfId="16" applyAlignment="1" applyBorder="1" applyFont="1" applyNumberFormat="1" applyFill="1" applyProtection="1">
      <alignment horizontal="center" vertical="top"/>
      <protection hidden="1" locked="0"/>
    </xf>
    <xf xxid="2335" numFmtId="0" fontId="62" fillId="6" borderId="76" xfId="16" applyAlignment="1" applyBorder="1" applyFont="1" applyNumberFormat="1" applyFill="1" applyProtection="1">
      <alignment horizontal="center" vertical="top"/>
      <protection hidden="1" locked="0"/>
    </xf>
    <xf xxid="2336" numFmtId="0" fontId="62" fillId="6" borderId="10" xfId="16" applyAlignment="1" applyBorder="1" applyFont="1" applyNumberFormat="1" applyFill="1" applyProtection="1">
      <alignment horizontal="center" vertical="top"/>
      <protection hidden="1" locked="0"/>
    </xf>
    <xf xxid="2337" numFmtId="0" fontId="62" fillId="6" borderId="0" xfId="16" applyAlignment="1" applyBorder="1" applyFont="1" applyNumberFormat="1" applyFill="1" applyProtection="1">
      <alignment horizontal="center" vertical="top"/>
      <protection hidden="1" locked="0"/>
    </xf>
    <xf xxid="2338" numFmtId="0" fontId="62" fillId="6" borderId="12" xfId="16" applyAlignment="1" applyBorder="1" applyFont="1" applyNumberFormat="1" applyFill="1" applyProtection="1">
      <alignment horizontal="center" vertical="top"/>
      <protection hidden="1" locked="0"/>
    </xf>
    <xf xxid="2339" numFmtId="169" fontId="62" fillId="6" borderId="10" xfId="19" applyAlignment="1" applyBorder="1" applyFont="1" applyNumberFormat="1" applyFill="1" applyProtection="1">
      <alignment horizontal="left" vertical="top"/>
      <protection hidden="1"/>
    </xf>
    <xf xxid="2340" numFmtId="169" fontId="62" fillId="6" borderId="0" xfId="19" applyAlignment="1" applyBorder="1" applyFont="1" applyNumberFormat="1" applyFill="1" applyProtection="1">
      <alignment horizontal="left" vertical="top"/>
      <protection hidden="1"/>
    </xf>
    <xf xxid="2341" numFmtId="169" fontId="62" fillId="6" borderId="12" xfId="19" applyAlignment="1" applyBorder="1" applyFont="1" applyNumberFormat="1" applyFill="1" applyProtection="1">
      <alignment horizontal="left" vertical="top"/>
      <protection hidden="1"/>
    </xf>
    <xf xxid="2342" numFmtId="175" fontId="69" fillId="7" borderId="64" xfId="1" applyAlignment="1" applyBorder="1" applyFont="1" applyNumberFormat="1" applyFill="1" applyProtection="1">
      <alignment horizontal="center" vertical="center" shrinkToFit="1"/>
      <protection hidden="1"/>
    </xf>
    <xf xxid="2343" numFmtId="175" fontId="69" fillId="7" borderId="61" xfId="1" applyAlignment="1" applyBorder="1" applyFont="1" applyNumberFormat="1" applyFill="1" applyProtection="1">
      <alignment horizontal="center" vertical="center" shrinkToFit="1"/>
      <protection hidden="1"/>
    </xf>
    <xf xxid="2344" numFmtId="175" fontId="69" fillId="7" borderId="65" xfId="1" applyAlignment="1" applyBorder="1" applyFont="1" applyNumberFormat="1" applyFill="1" applyProtection="1">
      <alignment horizontal="center" vertical="center" shrinkToFit="1"/>
      <protection hidden="1"/>
    </xf>
    <xf xxid="2345" numFmtId="175" fontId="65" fillId="7" borderId="40" xfId="1" applyAlignment="1" applyBorder="1" applyFont="1" applyNumberFormat="1" applyFill="1" applyProtection="1">
      <alignment horizontal="center"/>
      <protection hidden="1"/>
    </xf>
    <xf xxid="2346" numFmtId="175" fontId="65" fillId="7" borderId="28" xfId="1" applyAlignment="1" applyBorder="1" applyFont="1" applyNumberFormat="1" applyFill="1" applyProtection="1">
      <alignment horizontal="center"/>
      <protection hidden="1"/>
    </xf>
    <xf xxid="2347" numFmtId="175" fontId="65" fillId="7" borderId="139" xfId="1" applyAlignment="1" applyBorder="1" applyFont="1" applyNumberFormat="1" applyFill="1" applyProtection="1">
      <alignment horizontal="center"/>
      <protection hidden="1"/>
    </xf>
    <xf xxid="2348" numFmtId="166" fontId="62" fillId="6" borderId="63" xfId="0" applyAlignment="1" applyBorder="1" applyFont="1" applyNumberFormat="1" applyFill="1" applyProtection="1">
      <alignment horizontal="center"/>
      <protection hidden="1"/>
    </xf>
    <xf xxid="2349" numFmtId="166" fontId="62" fillId="6" borderId="6" xfId="0" applyAlignment="1" applyBorder="1" applyFont="1" applyNumberFormat="1" applyFill="1" applyProtection="1">
      <alignment horizontal="center"/>
      <protection hidden="1"/>
    </xf>
    <xf xxid="2350" numFmtId="166" fontId="62" fillId="6" borderId="76" xfId="0" applyAlignment="1" applyBorder="1" applyFont="1" applyNumberFormat="1" applyFill="1" applyProtection="1">
      <alignment horizontal="center"/>
      <protection hidden="1"/>
    </xf>
    <xf xxid="2351" numFmtId="182" fontId="62" fillId="7" borderId="23" xfId="3" applyAlignment="1" applyBorder="1" applyFont="1" applyNumberFormat="1" applyFill="1" applyProtection="1">
      <alignment horizontal="center"/>
      <protection hidden="1"/>
    </xf>
    <xf xxid="2352" numFmtId="182" fontId="62" fillId="7" borderId="9" xfId="3" applyAlignment="1" applyBorder="1" applyFont="1" applyNumberFormat="1" applyFill="1" applyProtection="1">
      <alignment horizontal="center"/>
      <protection hidden="1"/>
    </xf>
    <xf xxid="2353" numFmtId="182" fontId="62" fillId="7" borderId="22" xfId="3" applyAlignment="1" applyBorder="1" applyFont="1" applyNumberFormat="1" applyFill="1" applyProtection="1">
      <alignment horizontal="center"/>
      <protection hidden="1"/>
    </xf>
    <xf xxid="2354" numFmtId="181" fontId="69" fillId="7" borderId="64" xfId="0" applyAlignment="1" applyBorder="1" applyFont="1" applyNumberFormat="1" applyFill="1" applyProtection="1">
      <alignment horizontal="center" vertical="center" shrinkToFit="1"/>
      <protection hidden="1"/>
    </xf>
    <xf xxid="2355" numFmtId="181" fontId="69" fillId="7" borderId="61" xfId="0" applyAlignment="1" applyBorder="1" applyFont="1" applyNumberFormat="1" applyFill="1" applyProtection="1">
      <alignment horizontal="center" vertical="center" shrinkToFit="1"/>
      <protection hidden="1"/>
    </xf>
    <xf xxid="2356" numFmtId="181" fontId="69" fillId="7" borderId="65" xfId="0" applyAlignment="1" applyBorder="1" applyFont="1" applyNumberFormat="1" applyFill="1" applyProtection="1">
      <alignment horizontal="center" vertical="center" shrinkToFit="1"/>
      <protection hidden="1"/>
    </xf>
    <xf xxid="2357" numFmtId="182" fontId="65" fillId="7" borderId="40" xfId="1" applyAlignment="1" applyBorder="1" applyFont="1" applyNumberFormat="1" applyFill="1" applyProtection="1">
      <alignment horizontal="center"/>
      <protection hidden="1"/>
    </xf>
    <xf xxid="2358" numFmtId="182" fontId="65" fillId="7" borderId="28" xfId="1" applyAlignment="1" applyBorder="1" applyFont="1" applyNumberFormat="1" applyFill="1" applyProtection="1">
      <alignment horizontal="center"/>
      <protection hidden="1"/>
    </xf>
    <xf xxid="2359" numFmtId="182" fontId="65" fillId="7" borderId="139" xfId="1" applyAlignment="1" applyBorder="1" applyFont="1" applyNumberFormat="1" applyFill="1" applyProtection="1">
      <alignment horizontal="center"/>
      <protection hidden="1"/>
    </xf>
    <xf xxid="2360" numFmtId="175" fontId="62" fillId="6" borderId="23" xfId="1" applyAlignment="1" applyBorder="1" applyFont="1" applyNumberFormat="1" applyFill="1" applyProtection="1">
      <alignment horizontal="center"/>
      <protection hidden="1"/>
    </xf>
    <xf xxid="2361" numFmtId="175" fontId="62" fillId="6" borderId="9" xfId="1" applyAlignment="1" applyBorder="1" applyFont="1" applyNumberFormat="1" applyFill="1" applyProtection="1">
      <alignment horizontal="center"/>
      <protection hidden="1"/>
    </xf>
    <xf xxid="2362" numFmtId="175" fontId="62" fillId="6" borderId="22" xfId="1" applyAlignment="1" applyBorder="1" applyFont="1" applyNumberFormat="1" applyFill="1" applyProtection="1">
      <alignment horizontal="center"/>
      <protection hidden="1"/>
    </xf>
    <xf xxid="2363" numFmtId="181" fontId="62" fillId="6" borderId="140" xfId="0" applyAlignment="1" applyBorder="1" applyFont="1" applyNumberFormat="1" applyFill="1" applyProtection="1">
      <alignment horizontal="left"/>
      <protection hidden="1"/>
    </xf>
    <xf xxid="2364" numFmtId="181" fontId="62" fillId="6" borderId="9" xfId="0" applyAlignment="1" applyBorder="1" applyFont="1" applyNumberFormat="1" applyFill="1" applyProtection="1">
      <alignment horizontal="left"/>
      <protection hidden="1"/>
    </xf>
    <xf xxid="2365" numFmtId="181" fontId="62" fillId="6" borderId="22" xfId="0" applyAlignment="1" applyBorder="1" applyFont="1" applyNumberFormat="1" applyFill="1" applyProtection="1">
      <alignment horizontal="left"/>
      <protection hidden="1"/>
    </xf>
    <xf xxid="2366" numFmtId="181" fontId="62" fillId="6" borderId="23" xfId="0" applyAlignment="1" applyBorder="1" applyFont="1" applyNumberFormat="1" applyFill="1" applyProtection="1">
      <alignment horizontal="center"/>
      <protection hidden="1"/>
    </xf>
    <xf xxid="2367" numFmtId="181" fontId="62" fillId="6" borderId="9" xfId="0" applyAlignment="1" applyBorder="1" applyFont="1" applyNumberFormat="1" applyFill="1" applyProtection="1">
      <alignment horizontal="center"/>
      <protection hidden="1"/>
    </xf>
    <xf xxid="2368" numFmtId="181" fontId="62" fillId="6" borderId="22" xfId="0" applyAlignment="1" applyBorder="1" applyFont="1" applyNumberFormat="1" applyFill="1" applyProtection="1">
      <alignment horizontal="center"/>
      <protection hidden="1"/>
    </xf>
    <xf xxid="2369" numFmtId="0" fontId="83" fillId="18" borderId="63" xfId="3" applyAlignment="1" applyBorder="1" applyFont="1" applyNumberFormat="1" applyFill="1" applyProtection="1">
      <alignment horizontal="center" vertical="center"/>
      <protection hidden="1"/>
    </xf>
    <xf xxid="2370" numFmtId="0" fontId="83" fillId="18" borderId="6" xfId="3" applyAlignment="1" applyBorder="1" applyFont="1" applyNumberFormat="1" applyFill="1" applyProtection="1">
      <alignment horizontal="center" vertical="center"/>
      <protection hidden="1"/>
    </xf>
    <xf xxid="2371" numFmtId="0" fontId="83" fillId="18" borderId="76" xfId="3" applyAlignment="1" applyBorder="1" applyFont="1" applyNumberFormat="1" applyFill="1" applyProtection="1">
      <alignment horizontal="center" vertical="center"/>
      <protection hidden="1"/>
    </xf>
    <xf xxid="2372" numFmtId="0" fontId="83" fillId="18" borderId="97" xfId="3" applyAlignment="1" applyBorder="1" applyFont="1" applyNumberFormat="1" applyFill="1" applyProtection="1">
      <alignment horizontal="center" vertical="center"/>
      <protection hidden="1"/>
    </xf>
    <xf xxid="2373" numFmtId="0" fontId="83" fillId="18" borderId="1" xfId="3" applyAlignment="1" applyBorder="1" applyFont="1" applyNumberFormat="1" applyFill="1" applyProtection="1">
      <alignment horizontal="center" vertical="center"/>
      <protection hidden="1"/>
    </xf>
    <xf xxid="2374" numFmtId="0" fontId="83" fillId="18" borderId="98" xfId="3" applyAlignment="1" applyBorder="1" applyFont="1" applyNumberFormat="1" applyFill="1" applyProtection="1">
      <alignment horizontal="center" vertical="center"/>
      <protection hidden="1"/>
    </xf>
    <xf xxid="2375" numFmtId="0" fontId="83" fillId="18" borderId="141" xfId="3" applyAlignment="1" applyBorder="1" applyFont="1" applyNumberFormat="1" applyFill="1" applyProtection="1">
      <alignment horizontal="center" vertical="center" wrapText="1"/>
      <protection hidden="1"/>
    </xf>
    <xf xxid="2376" numFmtId="0" fontId="83" fillId="18" borderId="126" xfId="3" applyAlignment="1" applyBorder="1" applyFont="1" applyNumberFormat="1" applyFill="1" applyProtection="1">
      <alignment horizontal="center" vertical="center" wrapText="1"/>
      <protection hidden="1"/>
    </xf>
    <xf xxid="2377" numFmtId="0" fontId="83" fillId="18" borderId="142" xfId="3" applyAlignment="1" applyBorder="1" applyFont="1" applyNumberFormat="1" applyFill="1" applyProtection="1">
      <alignment horizontal="center" vertical="center" wrapText="1"/>
      <protection hidden="1"/>
    </xf>
    <xf xxid="2378" numFmtId="0" fontId="83" fillId="18" borderId="97" xfId="3" applyAlignment="1" applyBorder="1" applyFont="1" applyNumberFormat="1" applyFill="1" applyProtection="1">
      <alignment horizontal="center" vertical="center" wrapText="1"/>
      <protection hidden="1"/>
    </xf>
    <xf xxid="2379" numFmtId="0" fontId="83" fillId="18" borderId="1" xfId="3" applyAlignment="1" applyBorder="1" applyFont="1" applyNumberFormat="1" applyFill="1" applyProtection="1">
      <alignment horizontal="center" vertical="center" wrapText="1"/>
      <protection hidden="1"/>
    </xf>
    <xf xxid="2380" numFmtId="0" fontId="83" fillId="18" borderId="98" xfId="3" applyAlignment="1" applyBorder="1" applyFont="1" applyNumberFormat="1" applyFill="1" applyProtection="1">
      <alignment horizontal="center" vertical="center" wrapText="1"/>
      <protection hidden="1"/>
    </xf>
    <xf xxid="2381" numFmtId="166" fontId="62" fillId="6" borderId="23" xfId="0" applyAlignment="1" applyBorder="1" applyFont="1" applyNumberFormat="1" applyFill="1" applyProtection="1">
      <alignment horizontal="center"/>
      <protection hidden="1"/>
    </xf>
    <xf xxid="2382" numFmtId="166" fontId="62" fillId="6" borderId="9" xfId="0" applyAlignment="1" applyBorder="1" applyFont="1" applyNumberFormat="1" applyFill="1" applyProtection="1">
      <alignment horizontal="center"/>
      <protection hidden="1"/>
    </xf>
    <xf xxid="2383" numFmtId="166" fontId="62" fillId="6" borderId="22" xfId="0" applyAlignment="1" applyBorder="1" applyFont="1" applyNumberFormat="1" applyFill="1" applyProtection="1">
      <alignment horizontal="center"/>
      <protection hidden="1"/>
    </xf>
    <xf xxid="2384" numFmtId="181" fontId="62" fillId="6" borderId="143" xfId="0" applyAlignment="1" applyBorder="1" applyFont="1" applyNumberFormat="1" applyFill="1" applyProtection="1">
      <alignment horizontal="left"/>
      <protection hidden="1"/>
    </xf>
    <xf xxid="2385" numFmtId="181" fontId="62" fillId="6" borderId="21" xfId="0" applyAlignment="1" applyBorder="1" applyFont="1" applyNumberFormat="1" applyFill="1" applyProtection="1">
      <alignment horizontal="left"/>
      <protection hidden="1"/>
    </xf>
    <xf xxid="2386" numFmtId="181" fontId="62" fillId="6" borderId="30" xfId="0" applyAlignment="1" applyBorder="1" applyFont="1" applyNumberFormat="1" applyFill="1" applyProtection="1">
      <alignment horizontal="left"/>
      <protection hidden="1"/>
    </xf>
    <xf xxid="2387" numFmtId="181" fontId="62" fillId="6" borderId="24" xfId="0" applyAlignment="1" applyBorder="1" applyFont="1" applyNumberFormat="1" applyFill="1" applyProtection="1">
      <alignment horizontal="center"/>
      <protection hidden="1"/>
    </xf>
    <xf xxid="2388" numFmtId="181" fontId="62" fillId="6" borderId="21" xfId="0" applyAlignment="1" applyBorder="1" applyFont="1" applyNumberFormat="1" applyFill="1" applyProtection="1">
      <alignment horizontal="center"/>
      <protection hidden="1"/>
    </xf>
    <xf xxid="2389" numFmtId="181" fontId="62" fillId="6" borderId="30" xfId="0" applyAlignment="1" applyBorder="1" applyFont="1" applyNumberFormat="1" applyFill="1" applyProtection="1">
      <alignment horizontal="center"/>
      <protection hidden="1"/>
    </xf>
    <xf xxid="2390" numFmtId="166" fontId="62" fillId="6" borderId="24" xfId="0" applyAlignment="1" applyBorder="1" applyFont="1" applyNumberFormat="1" applyFill="1" applyProtection="1">
      <alignment horizontal="center"/>
      <protection hidden="1"/>
    </xf>
    <xf xxid="2391" numFmtId="166" fontId="62" fillId="6" borderId="21" xfId="0" applyAlignment="1" applyBorder="1" applyFont="1" applyNumberFormat="1" applyFill="1" applyProtection="1">
      <alignment horizontal="center"/>
      <protection hidden="1"/>
    </xf>
    <xf xxid="2392" numFmtId="166" fontId="62" fillId="6" borderId="30" xfId="0" applyAlignment="1" applyBorder="1" applyFont="1" applyNumberFormat="1" applyFill="1" applyProtection="1">
      <alignment horizontal="center"/>
      <protection hidden="1"/>
    </xf>
    <xf xxid="2393" numFmtId="182" fontId="62" fillId="7" borderId="24" xfId="3" applyAlignment="1" applyBorder="1" applyFont="1" applyNumberFormat="1" applyFill="1" applyProtection="1">
      <alignment horizontal="center"/>
      <protection hidden="1"/>
    </xf>
    <xf xxid="2394" numFmtId="182" fontId="62" fillId="7" borderId="21" xfId="3" applyAlignment="1" applyBorder="1" applyFont="1" applyNumberFormat="1" applyFill="1" applyProtection="1">
      <alignment horizontal="center"/>
      <protection hidden="1"/>
    </xf>
    <xf xxid="2395" numFmtId="182" fontId="62" fillId="7" borderId="30" xfId="3" applyAlignment="1" applyBorder="1" applyFont="1" applyNumberFormat="1" applyFill="1" applyProtection="1">
      <alignment horizontal="center"/>
      <protection hidden="1"/>
    </xf>
    <xf xxid="2396" numFmtId="0" fontId="62" fillId="0" borderId="40" xfId="3" applyAlignment="1" applyBorder="1" applyFont="1" applyNumberFormat="1" applyFill="1" applyProtection="1">
      <alignment horizontal="center" vertical="center" wrapText="1"/>
      <protection hidden="1"/>
    </xf>
    <xf xxid="2397" numFmtId="0" fontId="62" fillId="0" borderId="28" xfId="3" applyAlignment="1" applyBorder="1" applyFont="1" applyNumberFormat="1" applyFill="1" applyProtection="1">
      <alignment horizontal="center" vertical="center" wrapText="1"/>
      <protection hidden="1"/>
    </xf>
    <xf xxid="2398" numFmtId="0" fontId="62" fillId="0" borderId="139" xfId="3" applyAlignment="1" applyBorder="1" applyFont="1" applyNumberFormat="1" applyFill="1" applyProtection="1">
      <alignment horizontal="center" vertical="center" wrapText="1"/>
      <protection hidden="1"/>
    </xf>
    <xf xxid="2399" numFmtId="0" fontId="83" fillId="18" borderId="40" xfId="3" applyAlignment="1" applyBorder="1" applyFont="1" applyNumberFormat="1" applyFill="1" applyProtection="1">
      <alignment horizontal="center" vertical="center" wrapText="1"/>
      <protection hidden="1"/>
    </xf>
    <xf xxid="2400" numFmtId="0" fontId="83" fillId="18" borderId="28" xfId="3" applyAlignment="1" applyBorder="1" applyFont="1" applyNumberFormat="1" applyFill="1" applyProtection="1">
      <alignment horizontal="center" vertical="center" wrapText="1"/>
      <protection hidden="1"/>
    </xf>
    <xf xxid="2401" numFmtId="0" fontId="83" fillId="18" borderId="139" xfId="3" applyAlignment="1" applyBorder="1" applyFont="1" applyNumberFormat="1" applyFill="1" applyProtection="1">
      <alignment horizontal="center" vertical="center" wrapText="1"/>
      <protection hidden="1"/>
    </xf>
    <xf xxid="2402" numFmtId="182" fontId="65" fillId="7" borderId="40" xfId="3" applyAlignment="1" applyBorder="1" applyFont="1" applyNumberFormat="1" applyFill="1" applyProtection="1">
      <alignment horizontal="center"/>
      <protection hidden="1"/>
    </xf>
    <xf xxid="2403" numFmtId="182" fontId="65" fillId="7" borderId="28" xfId="3" applyAlignment="1" applyBorder="1" applyFont="1" applyNumberFormat="1" applyFill="1" applyProtection="1">
      <alignment horizontal="center"/>
      <protection hidden="1"/>
    </xf>
    <xf xxid="2404" numFmtId="182" fontId="65" fillId="7" borderId="139" xfId="3" applyAlignment="1" applyBorder="1" applyFont="1" applyNumberFormat="1" applyFill="1" applyProtection="1">
      <alignment horizontal="center"/>
      <protection hidden="1"/>
    </xf>
    <xf xxid="2405" numFmtId="181" fontId="62" fillId="6" borderId="140" xfId="0" applyAlignment="1" applyBorder="1" applyFont="1" applyNumberFormat="1" applyFill="1" applyProtection="1">
      <protection hidden="1"/>
    </xf>
    <xf xxid="2406" numFmtId="181" fontId="62" fillId="6" borderId="9" xfId="0" applyAlignment="1" applyBorder="1" applyFont="1" applyNumberFormat="1" applyFill="1" applyProtection="1">
      <protection hidden="1"/>
    </xf>
    <xf xxid="2407" numFmtId="181" fontId="62" fillId="6" borderId="22" xfId="0" applyAlignment="1" applyBorder="1" applyFont="1" applyNumberFormat="1" applyFill="1" applyProtection="1">
      <protection hidden="1"/>
    </xf>
    <xf xxid="2408" numFmtId="182" fontId="62" fillId="7" borderId="15" xfId="3" applyAlignment="1" applyBorder="1" applyFont="1" applyNumberFormat="1" applyFill="1" applyProtection="1">
      <alignment horizontal="center"/>
      <protection hidden="1"/>
    </xf>
    <xf xxid="2409" numFmtId="0" fontId="83" fillId="18" borderId="13" xfId="3" applyAlignment="1" applyBorder="1" applyFont="1" applyNumberFormat="1" applyFill="1" applyProtection="1">
      <alignment horizontal="center" vertical="center" wrapText="1"/>
      <protection hidden="1"/>
    </xf>
    <xf xxid="2410" numFmtId="0" fontId="83" fillId="18" borderId="6" xfId="3" applyAlignment="1" applyBorder="1" applyFont="1" applyNumberFormat="1" applyFill="1" applyProtection="1">
      <alignment horizontal="center" vertical="center" wrapText="1"/>
      <protection hidden="1"/>
    </xf>
    <xf xxid="2411" numFmtId="0" fontId="83" fillId="18" borderId="76" xfId="3" applyAlignment="1" applyBorder="1" applyFont="1" applyNumberFormat="1" applyFill="1" applyProtection="1">
      <alignment horizontal="center" vertical="center" wrapText="1"/>
      <protection hidden="1"/>
    </xf>
    <xf xxid="2412" numFmtId="0" fontId="83" fillId="18" borderId="14" xfId="3" applyAlignment="1" applyBorder="1" applyFont="1" applyNumberFormat="1" applyFill="1" applyProtection="1">
      <alignment horizontal="center" vertical="center" wrapText="1"/>
      <protection hidden="1"/>
    </xf>
    <xf xxid="2413" numFmtId="166" fontId="65" fillId="7" borderId="40" xfId="1" applyAlignment="1" applyBorder="1" applyFont="1" applyNumberFormat="1" applyFill="1" applyProtection="1">
      <alignment horizontal="center"/>
      <protection hidden="1"/>
    </xf>
    <xf xxid="2414" numFmtId="166" fontId="65" fillId="7" borderId="28" xfId="1" applyAlignment="1" applyBorder="1" applyFont="1" applyNumberFormat="1" applyFill="1" applyProtection="1">
      <alignment horizontal="center"/>
      <protection hidden="1"/>
    </xf>
    <xf xxid="2415" numFmtId="166" fontId="65" fillId="7" borderId="139" xfId="1" applyAlignment="1" applyBorder="1" applyFont="1" applyNumberFormat="1" applyFill="1" applyProtection="1">
      <alignment horizontal="center"/>
      <protection hidden="1"/>
    </xf>
    <xf xxid="2416" numFmtId="0" fontId="62" fillId="0" borderId="27" xfId="3" applyAlignment="1" applyBorder="1" applyFont="1" applyNumberFormat="1" applyFill="1" applyProtection="1">
      <alignment horizontal="center" vertical="center" wrapText="1"/>
      <protection hidden="1"/>
    </xf>
    <xf xxid="2417" numFmtId="182" fontId="65" fillId="7" borderId="29" xfId="3" applyAlignment="1" applyBorder="1" applyFont="1" applyNumberFormat="1" applyFill="1" applyProtection="1">
      <alignment horizontal="center"/>
      <protection hidden="1"/>
    </xf>
    <xf xxid="2418" numFmtId="0" fontId="83" fillId="18" borderId="63" xfId="3" applyAlignment="1" applyBorder="1" applyFont="1" applyNumberFormat="1" applyFill="1" applyProtection="1">
      <alignment horizontal="center" vertical="center" wrapText="1"/>
      <protection hidden="1"/>
    </xf>
    <xf xxid="2419" numFmtId="181" fontId="62" fillId="6" borderId="97" xfId="0" applyAlignment="1" applyBorder="1" applyFont="1" applyNumberFormat="1" applyFill="1" applyProtection="1">
      <alignment horizontal="center"/>
      <protection hidden="1"/>
    </xf>
    <xf xxid="2420" numFmtId="181" fontId="62" fillId="6" borderId="1" xfId="0" applyAlignment="1" applyBorder="1" applyFont="1" applyNumberFormat="1" applyFill="1" applyProtection="1">
      <alignment horizontal="center"/>
      <protection hidden="1"/>
    </xf>
    <xf xxid="2421" numFmtId="181" fontId="62" fillId="6" borderId="98" xfId="0" applyAlignment="1" applyBorder="1" applyFont="1" applyNumberFormat="1" applyFill="1" applyProtection="1">
      <alignment horizontal="center"/>
      <protection hidden="1"/>
    </xf>
    <xf xxid="2422" numFmtId="182" fontId="62" fillId="7" borderId="89" xfId="3" applyAlignment="1" applyBorder="1" applyFont="1" applyNumberFormat="1" applyFill="1" applyProtection="1">
      <alignment horizontal="center"/>
      <protection hidden="1"/>
    </xf>
    <xf xxid="2423" numFmtId="181" fontId="69" fillId="7" borderId="60" xfId="0" applyAlignment="1" applyBorder="1" applyFont="1" applyNumberFormat="1" applyFill="1" applyProtection="1">
      <alignment horizontal="center" vertical="center" wrapText="1" shrinkToFit="1"/>
      <protection hidden="1"/>
    </xf>
    <xf xxid="2424" numFmtId="181" fontId="69" fillId="7" borderId="61" xfId="0" applyAlignment="1" applyBorder="1" applyFont="1" applyNumberFormat="1" applyFill="1" applyProtection="1">
      <alignment horizontal="center" vertical="center" wrapText="1" shrinkToFit="1"/>
      <protection hidden="1"/>
    </xf>
    <xf xxid="2425" numFmtId="181" fontId="69" fillId="7" borderId="65" xfId="0" applyAlignment="1" applyBorder="1" applyFont="1" applyNumberFormat="1" applyFill="1" applyProtection="1">
      <alignment horizontal="center" vertical="center" wrapText="1" shrinkToFit="1"/>
      <protection hidden="1"/>
    </xf>
    <xf xxid="2426" numFmtId="181" fontId="62" fillId="7" borderId="91" xfId="3" applyAlignment="1" applyBorder="1" applyFont="1" applyNumberFormat="1" applyFill="1" applyProtection="1">
      <alignment horizontal="center"/>
      <protection hidden="1"/>
    </xf>
    <xf xxid="2427" numFmtId="181" fontId="62" fillId="7" borderId="65" xfId="3" applyAlignment="1" applyBorder="1" applyFont="1" applyNumberFormat="1" applyFill="1" applyProtection="1">
      <alignment horizontal="center"/>
      <protection hidden="1"/>
    </xf>
    <xf xxid="2428" numFmtId="181" fontId="62" fillId="7" borderId="92" xfId="3" applyAlignment="1" applyBorder="1" applyFont="1" applyNumberFormat="1" applyFill="1" applyProtection="1">
      <alignment horizontal="center"/>
      <protection hidden="1"/>
    </xf>
    <xf xxid="2429" numFmtId="0" fontId="83" fillId="18" borderId="144" xfId="3" applyAlignment="1" applyBorder="1" applyFont="1" applyNumberFormat="1" applyFill="1" applyProtection="1">
      <alignment horizontal="center" vertical="center" wrapText="1"/>
      <protection hidden="1"/>
    </xf>
    <xf xxid="2430" numFmtId="0" fontId="83" fillId="18" borderId="64" xfId="3" applyAlignment="1" applyBorder="1" applyFont="1" applyNumberFormat="1" applyFill="1" applyProtection="1">
      <alignment horizontal="center" vertical="center" wrapText="1"/>
      <protection hidden="1"/>
    </xf>
    <xf xxid="2431" numFmtId="0" fontId="83" fillId="18" borderId="61" xfId="3" applyAlignment="1" applyBorder="1" applyFont="1" applyNumberFormat="1" applyFill="1" applyProtection="1">
      <alignment horizontal="center" vertical="center" wrapText="1"/>
      <protection hidden="1"/>
    </xf>
    <xf xxid="2432" numFmtId="0" fontId="83" fillId="18" borderId="65" xfId="3" applyAlignment="1" applyBorder="1" applyFont="1" applyNumberFormat="1" applyFill="1" applyProtection="1">
      <alignment horizontal="center" vertical="center" wrapText="1"/>
      <protection hidden="1"/>
    </xf>
    <xf xxid="2433" numFmtId="0" fontId="83" fillId="18" borderId="62" xfId="3" applyAlignment="1" applyBorder="1" applyFont="1" applyNumberFormat="1" applyFill="1" applyProtection="1">
      <alignment horizontal="center" vertical="center" wrapText="1"/>
      <protection hidden="1"/>
    </xf>
    <xf xxid="2434" numFmtId="182" fontId="62" fillId="7" borderId="37" xfId="3" applyAlignment="1" applyBorder="1" applyFont="1" applyNumberFormat="1" applyFill="1" applyProtection="1">
      <alignment horizontal="center"/>
      <protection hidden="1"/>
    </xf>
    <xf xxid="2435" numFmtId="182" fontId="62" fillId="7" borderId="12" xfId="3" applyAlignment="1" applyBorder="1" applyFont="1" applyNumberFormat="1" applyFill="1" applyProtection="1">
      <alignment horizontal="center"/>
      <protection hidden="1"/>
    </xf>
    <xf xxid="2436" numFmtId="182" fontId="62" fillId="7" borderId="145" xfId="3" applyAlignment="1" applyBorder="1" applyFont="1" applyNumberFormat="1" applyFill="1" applyProtection="1">
      <alignment horizontal="center"/>
      <protection hidden="1"/>
    </xf>
    <xf xxid="2437" numFmtId="182" fontId="62" fillId="7" borderId="146" xfId="3" applyAlignment="1" applyBorder="1" applyFont="1" applyNumberFormat="1" applyFill="1" applyProtection="1">
      <alignment horizontal="center"/>
      <protection hidden="1"/>
    </xf>
    <xf xxid="2438" numFmtId="182" fontId="62" fillId="7" borderId="10" xfId="3" applyAlignment="1" applyBorder="1" applyFont="1" applyNumberFormat="1" applyFill="1" applyProtection="1">
      <alignment horizontal="center"/>
      <protection hidden="1"/>
    </xf>
    <xf xxid="2439" numFmtId="182" fontId="62" fillId="7" borderId="0" xfId="3" applyAlignment="1" applyBorder="1" applyFont="1" applyNumberFormat="1" applyFill="1" applyProtection="1">
      <alignment horizontal="center"/>
      <protection hidden="1"/>
    </xf>
    <xf xxid="2440" numFmtId="182" fontId="62" fillId="7" borderId="5" xfId="3" applyAlignment="1" applyBorder="1" applyFont="1" applyNumberFormat="1" applyFill="1" applyProtection="1">
      <alignment horizontal="center"/>
      <protection hidden="1"/>
    </xf>
    <xf xxid="2441" numFmtId="182" fontId="62" fillId="7" borderId="19" xfId="3" applyAlignment="1" applyBorder="1" applyFont="1" applyNumberFormat="1" applyFill="1" applyProtection="1">
      <alignment horizontal="center"/>
      <protection hidden="1"/>
    </xf>
    <xf xxid="2442" numFmtId="182" fontId="62" fillId="7" borderId="8" xfId="3" applyAlignment="1" applyBorder="1" applyFont="1" applyNumberFormat="1" applyFill="1" applyProtection="1">
      <alignment horizontal="center"/>
      <protection hidden="1"/>
    </xf>
    <xf xxid="2443" numFmtId="182" fontId="62" fillId="7" borderId="147" xfId="3" applyAlignment="1" applyBorder="1" applyFont="1" applyNumberFormat="1" applyFill="1" applyProtection="1">
      <alignment horizontal="center"/>
      <protection hidden="1"/>
    </xf>
    <xf xxid="2444" numFmtId="179" fontId="62" fillId="6" borderId="0" xfId="18" applyAlignment="1" applyBorder="1" applyFont="1" applyNumberFormat="1" applyFill="1" applyProtection="1">
      <alignment horizontal="center"/>
      <protection hidden="1"/>
    </xf>
    <xf xxid="2445" numFmtId="179" fontId="65" fillId="6" borderId="0" xfId="16" applyAlignment="1" applyBorder="1" applyFont="1" applyNumberFormat="1" applyFill="1" applyProtection="1">
      <alignment horizontal="center" vertical="center"/>
      <protection hidden="1"/>
    </xf>
    <xf xxid="2446" numFmtId="0" fontId="59" fillId="6" borderId="0" xfId="16" applyAlignment="1" applyBorder="1" applyFont="1" applyNumberFormat="1" applyFill="1" applyProtection="1">
      <alignment horizontal="left"/>
      <protection hidden="1"/>
    </xf>
    <xf xxid="2447" numFmtId="0" fontId="21" fillId="6" borderId="0" xfId="16" applyAlignment="1" applyBorder="1" applyFont="1" applyNumberFormat="1" applyFill="1" applyProtection="1">
      <alignment horizontal="left"/>
      <protection hidden="1"/>
    </xf>
    <xf xxid="2448" numFmtId="179" fontId="62" fillId="6" borderId="8" xfId="18" applyAlignment="1" applyBorder="1" applyFont="1" applyNumberFormat="1" applyFill="1" applyProtection="1">
      <alignment horizontal="center"/>
      <protection hidden="1"/>
    </xf>
    <xf xxid="2449" numFmtId="180" fontId="0" fillId="6" borderId="0" xfId="21" applyAlignment="1" applyBorder="1" applyFont="1" applyNumberFormat="1" applyFill="1" applyProtection="1">
      <alignment horizontal="center"/>
      <protection hidden="1"/>
    </xf>
    <xf xxid="2450" numFmtId="179" fontId="65" fillId="6" borderId="0" xfId="18" applyAlignment="1" applyBorder="1" applyFont="1" applyNumberFormat="1" applyFill="1" applyProtection="1">
      <alignment horizontal="center"/>
      <protection hidden="1"/>
    </xf>
    <xf xxid="2451" numFmtId="179" fontId="65" fillId="6" borderId="27" xfId="16" applyAlignment="1" applyBorder="1" applyFont="1" applyNumberFormat="1" applyFill="1" applyProtection="1">
      <alignment horizontal="center" vertical="center"/>
      <protection hidden="1"/>
    </xf>
    <xf xxid="2452" numFmtId="179" fontId="65" fillId="6" borderId="28" xfId="16" applyAlignment="1" applyBorder="1" applyFont="1" applyNumberFormat="1" applyFill="1" applyProtection="1">
      <alignment horizontal="center" vertical="center"/>
      <protection hidden="1"/>
    </xf>
    <xf xxid="2453" numFmtId="179" fontId="65" fillId="6" borderId="29" xfId="16" applyAlignment="1" applyBorder="1" applyFont="1" applyNumberFormat="1" applyFill="1" applyProtection="1">
      <alignment horizontal="center" vertical="center"/>
      <protection hidden="1"/>
    </xf>
    <xf xxid="2454" numFmtId="179" fontId="0" fillId="6" borderId="0" xfId="18" applyAlignment="1" applyBorder="1" applyFont="1" applyNumberFormat="1" applyFill="1" applyProtection="1">
      <alignment horizontal="center"/>
      <protection hidden="1"/>
    </xf>
    <xf xxid="2455" numFmtId="182" fontId="65" fillId="6" borderId="0" xfId="18" applyAlignment="1" applyBorder="1" applyFont="1" applyNumberFormat="1" applyFill="1" applyProtection="1">
      <alignment horizontal="center"/>
      <protection hidden="1"/>
    </xf>
    <xf xxid="2456" numFmtId="182" fontId="62" fillId="6" borderId="0" xfId="18" applyAlignment="1" applyBorder="1" applyFont="1" applyNumberFormat="1" applyFill="1" applyProtection="1">
      <alignment horizontal="center"/>
      <protection hidden="1"/>
    </xf>
    <xf xxid="2457" numFmtId="182" fontId="62" fillId="6" borderId="8" xfId="18" applyAlignment="1" applyBorder="1" applyFont="1" applyNumberFormat="1" applyFill="1" applyProtection="1">
      <alignment horizontal="center"/>
      <protection hidden="1"/>
    </xf>
    <xf xxid="2458" numFmtId="0" fontId="83" fillId="18" borderId="2" xfId="3" applyAlignment="1" applyBorder="1" applyFont="1" applyNumberFormat="1" applyFill="1" applyProtection="1">
      <alignment horizontal="center" vertical="center" wrapText="1"/>
      <protection hidden="1"/>
    </xf>
    <xf xxid="2459" numFmtId="0" fontId="83" fillId="18" borderId="3" xfId="3" applyAlignment="1" applyBorder="1" applyFont="1" applyNumberFormat="1" applyFill="1" applyProtection="1">
      <alignment horizontal="center" vertical="center" wrapText="1"/>
      <protection hidden="1"/>
    </xf>
    <xf xxid="2460" numFmtId="0" fontId="62" fillId="0" borderId="29" xfId="3" applyAlignment="1" applyBorder="1" applyFont="1" applyNumberFormat="1" applyFill="1" applyProtection="1">
      <alignment horizontal="center" vertical="center" wrapText="1"/>
      <protection hidden="1"/>
    </xf>
    <xf xxid="2461" numFmtId="182" fontId="65" fillId="7" borderId="29" xfId="1" applyAlignment="1" applyBorder="1" applyFont="1" applyNumberFormat="1" applyFill="1" applyProtection="1">
      <alignment horizontal="center"/>
      <protection hidden="1"/>
    </xf>
    <xf xxid="2462" numFmtId="182" fontId="65" fillId="6" borderId="9" xfId="16" applyAlignment="1" applyBorder="1" applyFont="1" applyNumberFormat="1" applyFill="1" applyProtection="1">
      <alignment horizontal="center"/>
      <protection hidden="1"/>
    </xf>
    <xf xxid="2463" numFmtId="0" fontId="62" fillId="6" borderId="0" xfId="18" applyAlignment="1" applyBorder="1" applyFont="1" applyNumberFormat="1" applyFill="1" applyProtection="1">
      <alignment horizontal="right"/>
      <protection hidden="1"/>
    </xf>
    <xf xxid="2464" numFmtId="182" fontId="65" fillId="6" borderId="27" xfId="18" applyAlignment="1" applyBorder="1" applyFont="1" applyNumberFormat="1" applyFill="1" applyProtection="1">
      <alignment horizontal="center" vertical="center"/>
      <protection hidden="1"/>
    </xf>
    <xf xxid="2465" numFmtId="182" fontId="65" fillId="6" borderId="28" xfId="18" applyAlignment="1" applyBorder="1" applyFont="1" applyNumberFormat="1" applyFill="1" applyProtection="1">
      <alignment horizontal="center" vertical="center"/>
      <protection hidden="1"/>
    </xf>
    <xf xxid="2466" numFmtId="182" fontId="65" fillId="6" borderId="29" xfId="18" applyAlignment="1" applyBorder="1" applyFont="1" applyNumberFormat="1" applyFill="1" applyProtection="1">
      <alignment horizontal="center" vertical="center"/>
      <protection hidden="1"/>
    </xf>
    <xf xxid="2467" numFmtId="0" fontId="64" fillId="6" borderId="0" xfId="16" applyAlignment="1" applyBorder="1" applyFont="1" applyNumberFormat="1" applyFill="1" applyProtection="1">
      <alignment horizontal="center"/>
      <protection hidden="1"/>
    </xf>
    <xf xxid="2468" numFmtId="0" fontId="2" fillId="6" borderId="0" xfId="16" applyAlignment="1" applyBorder="1" applyFont="1" applyNumberFormat="1" applyFill="1" applyProtection="1">
      <alignment horizontal="left"/>
      <protection hidden="1"/>
    </xf>
    <xf xxid="2469" numFmtId="179" fontId="2" fillId="6" borderId="0" xfId="18" applyAlignment="1" applyBorder="1" applyFont="1" applyNumberFormat="1" applyFill="1" applyProtection="1">
      <alignment horizontal="center"/>
      <protection hidden="1"/>
    </xf>
    <xf xxid="2470" numFmtId="0" fontId="83" fillId="19" borderId="141" xfId="16" applyAlignment="1" applyBorder="1" applyFont="1" applyNumberFormat="1" applyFill="1" applyProtection="1">
      <alignment horizontal="center" vertical="center"/>
      <protection hidden="1"/>
    </xf>
    <xf xxid="2471" numFmtId="0" fontId="83" fillId="19" borderId="142" xfId="16" applyAlignment="1" applyBorder="1" applyFont="1" applyNumberFormat="1" applyFill="1" applyProtection="1">
      <alignment horizontal="center" vertical="center"/>
      <protection hidden="1"/>
    </xf>
    <xf xxid="2472" numFmtId="0" fontId="83" fillId="19" borderId="126" xfId="16" applyAlignment="1" applyBorder="1" applyFont="1" applyNumberFormat="1" applyFill="1" applyProtection="1">
      <alignment horizontal="center" vertical="center"/>
      <protection hidden="1"/>
    </xf>
    <xf xxid="2473" numFmtId="0" fontId="84" fillId="18" borderId="64" xfId="16" applyAlignment="1" applyBorder="1" applyFont="1" applyNumberFormat="1" applyFill="1" applyProtection="1">
      <alignment horizontal="center" vertical="center"/>
      <protection hidden="1"/>
    </xf>
    <xf xxid="2474" numFmtId="0" fontId="84" fillId="18" borderId="65" xfId="16" applyAlignment="1" applyBorder="1" applyFont="1" applyNumberFormat="1" applyFill="1" applyProtection="1">
      <alignment horizontal="center" vertical="center"/>
      <protection hidden="1"/>
    </xf>
    <xf xxid="2475" numFmtId="0" fontId="84" fillId="18" borderId="61" xfId="16" applyAlignment="1" applyBorder="1" applyFont="1" applyNumberFormat="1" applyFill="1" applyProtection="1">
      <alignment horizontal="center" vertical="center"/>
      <protection hidden="1"/>
    </xf>
    <xf xxid="2476" numFmtId="0" fontId="62" fillId="6" borderId="63" xfId="16" applyAlignment="1" applyBorder="1" applyFont="1" applyNumberFormat="1" applyFill="1" applyProtection="1">
      <alignment horizontal="center" vertical="top"/>
      <protection hidden="1"/>
    </xf>
    <xf xxid="2477" numFmtId="0" fontId="62" fillId="6" borderId="76" xfId="16" applyAlignment="1" applyBorder="1" applyFont="1" applyNumberFormat="1" applyFill="1" applyProtection="1">
      <alignment horizontal="center" vertical="top"/>
      <protection hidden="1"/>
    </xf>
    <xf xxid="2478" numFmtId="169" fontId="62" fillId="6" borderId="63" xfId="19" applyAlignment="1" applyBorder="1" applyFont="1" applyNumberFormat="1" applyFill="1" applyProtection="1">
      <alignment horizontal="left" vertical="top"/>
      <protection hidden="1"/>
    </xf>
    <xf xxid="2479" numFmtId="169" fontId="62" fillId="6" borderId="6" xfId="19" applyAlignment="1" applyBorder="1" applyFont="1" applyNumberFormat="1" applyFill="1" applyProtection="1">
      <alignment horizontal="left" vertical="top"/>
      <protection hidden="1"/>
    </xf>
    <xf xxid="2480" numFmtId="169" fontId="62" fillId="6" borderId="76" xfId="19" applyAlignment="1" applyBorder="1" applyFont="1" applyNumberFormat="1" applyFill="1" applyProtection="1">
      <alignment horizontal="left" vertical="top"/>
      <protection hidden="1"/>
    </xf>
    <xf xxid="2481" numFmtId="0" fontId="62" fillId="6" borderId="63" xfId="16" applyAlignment="1" applyBorder="1" applyFont="1" applyNumberFormat="1" applyFill="1" applyProtection="1">
      <alignment horizontal="left" vertical="top" wrapText="1"/>
      <protection hidden="1"/>
    </xf>
    <xf xxid="2482" numFmtId="0" fontId="62" fillId="6" borderId="6" xfId="16" applyAlignment="1" applyBorder="1" applyFont="1" applyNumberFormat="1" applyFill="1" applyProtection="1">
      <alignment horizontal="left" vertical="top" wrapText="1"/>
      <protection hidden="1"/>
    </xf>
    <xf xxid="2483" numFmtId="0" fontId="62" fillId="6" borderId="76" xfId="16" applyAlignment="1" applyBorder="1" applyFont="1" applyNumberFormat="1" applyFill="1" applyProtection="1">
      <alignment horizontal="left" vertical="top" wrapText="1"/>
      <protection hidden="1"/>
    </xf>
    <xf xxid="2484" numFmtId="179" fontId="62" fillId="6" borderId="15" xfId="16" applyAlignment="1" applyBorder="1" applyFont="1" applyNumberFormat="1" applyFill="1" applyProtection="1">
      <alignment horizontal="center"/>
      <protection hidden="1"/>
    </xf>
    <xf xxid="2485" numFmtId="179" fontId="62" fillId="6" borderId="89" xfId="16" applyAlignment="1" applyBorder="1" applyFont="1" applyNumberFormat="1" applyFill="1" applyProtection="1">
      <alignment horizontal="center"/>
      <protection hidden="1"/>
    </xf>
    <xf xxid="2486" numFmtId="0" fontId="2" fillId="6" borderId="148" xfId="16" applyAlignment="1" applyBorder="1" applyFont="1" applyNumberFormat="1" applyFill="1" applyProtection="1">
      <alignment horizontal="left"/>
      <protection hidden="1"/>
    </xf>
    <xf xxid="2487" numFmtId="0" fontId="2" fillId="6" borderId="15" xfId="16" applyAlignment="1" applyBorder="1" applyFont="1" applyNumberFormat="1" applyFill="1" applyProtection="1">
      <alignment horizontal="left"/>
      <protection hidden="1"/>
    </xf>
    <xf xxid="2488" numFmtId="0" fontId="50" fillId="6" borderId="93" xfId="16" applyAlignment="1" applyBorder="1" applyFont="1" applyNumberFormat="1" applyFill="1" applyProtection="1">
      <alignment horizontal="center" vertical="center"/>
      <protection hidden="1"/>
    </xf>
    <xf xxid="2489" numFmtId="0" fontId="5" fillId="6" borderId="7" xfId="16" applyAlignment="1" applyBorder="1" applyFont="1" applyNumberFormat="1" applyFill="1" applyProtection="1">
      <alignment horizontal="center" vertical="center"/>
      <protection hidden="1"/>
    </xf>
    <xf xxid="2490" numFmtId="179" fontId="65" fillId="6" borderId="7" xfId="16" applyAlignment="1" applyBorder="1" applyFont="1" applyNumberFormat="1" applyFill="1" applyProtection="1">
      <alignment horizontal="center" vertical="center"/>
      <protection hidden="1"/>
    </xf>
    <xf xxid="2491" numFmtId="179" fontId="65" fillId="6" borderId="88" xfId="16" applyAlignment="1" applyBorder="1" applyFont="1" applyNumberFormat="1" applyFill="1" applyProtection="1">
      <alignment horizontal="center" vertical="center"/>
      <protection hidden="1"/>
    </xf>
    <xf xxid="2492" numFmtId="0" fontId="85" fillId="18" borderId="149" xfId="16" applyAlignment="1" applyBorder="1" applyFont="1" applyNumberFormat="1" applyFill="1" applyProtection="1">
      <alignment horizontal="center" vertical="center"/>
      <protection hidden="1"/>
    </xf>
    <xf xxid="2493" numFmtId="0" fontId="85" fillId="18" borderId="150" xfId="16" applyAlignment="1" applyBorder="1" applyFont="1" applyNumberFormat="1" applyFill="1" applyProtection="1">
      <alignment horizontal="center" vertical="center"/>
      <protection hidden="1"/>
    </xf>
    <xf xxid="2494" numFmtId="0" fontId="85" fillId="18" borderId="151" xfId="16" applyAlignment="1" applyBorder="1" applyFont="1" applyNumberFormat="1" applyFill="1" applyProtection="1">
      <alignment horizontal="center" vertical="center"/>
      <protection hidden="1"/>
    </xf>
    <xf xxid="2495" numFmtId="0" fontId="2" fillId="6" borderId="152" xfId="16" applyAlignment="1" applyBorder="1" applyFont="1" applyNumberFormat="1" applyFill="1" applyProtection="1">
      <alignment horizontal="center"/>
      <protection hidden="1"/>
    </xf>
    <xf xxid="2496" numFmtId="0" fontId="2" fillId="6" borderId="109" xfId="16" applyAlignment="1" applyBorder="1" applyFont="1" applyNumberFormat="1" applyFill="1" applyProtection="1">
      <alignment horizontal="center"/>
      <protection hidden="1"/>
    </xf>
    <xf xxid="2497" numFmtId="0" fontId="2" fillId="6" borderId="122" xfId="16" applyAlignment="1" applyBorder="1" applyFont="1" applyNumberFormat="1" applyFill="1" applyProtection="1">
      <alignment horizontal="center"/>
      <protection hidden="1"/>
    </xf>
    <xf xxid="2498" numFmtId="0" fontId="2" fillId="6" borderId="124" xfId="16" applyAlignment="1" applyBorder="1" applyFont="1" applyNumberFormat="1" applyFill="1" applyProtection="1">
      <alignment horizontal="center"/>
      <protection hidden="1"/>
    </xf>
    <xf xxid="2499" numFmtId="0" fontId="2" fillId="6" borderId="153" xfId="16" applyAlignment="1" applyBorder="1" applyFont="1" applyNumberFormat="1" applyFill="1" applyProtection="1">
      <alignment horizontal="center"/>
      <protection hidden="1"/>
    </xf>
    <xf xxid="2500" numFmtId="0" fontId="62" fillId="6" borderId="10" xfId="16" applyAlignment="1" applyBorder="1" applyFont="1" applyNumberFormat="1" applyFill="1" applyProtection="1">
      <alignment horizontal="center" vertical="top"/>
      <protection hidden="1"/>
    </xf>
    <xf xxid="2501" numFmtId="0" fontId="62" fillId="6" borderId="12" xfId="16" applyAlignment="1" applyBorder="1" applyFont="1" applyNumberFormat="1" applyFill="1" applyProtection="1">
      <alignment horizontal="center" vertical="top"/>
      <protection hidden="1"/>
    </xf>
    <xf xxid="2502" numFmtId="0" fontId="62" fillId="6" borderId="10" xfId="16" applyAlignment="1" applyBorder="1" applyFont="1" applyNumberFormat="1" applyFill="1" applyProtection="1">
      <alignment horizontal="left" vertical="top" wrapText="1"/>
      <protection hidden="1"/>
    </xf>
    <xf xxid="2503" numFmtId="0" fontId="62" fillId="6" borderId="0" xfId="16" applyAlignment="1" applyBorder="1" applyFont="1" applyNumberFormat="1" applyFill="1" applyProtection="1">
      <alignment horizontal="left" vertical="top" wrapText="1"/>
      <protection hidden="1"/>
    </xf>
    <xf xxid="2504" numFmtId="0" fontId="62" fillId="6" borderId="12" xfId="16" applyAlignment="1" applyBorder="1" applyFont="1" applyNumberFormat="1" applyFill="1" applyProtection="1">
      <alignment horizontal="left" vertical="top" wrapText="1"/>
      <protection hidden="1"/>
    </xf>
    <xf xxid="2505" numFmtId="0" fontId="50" fillId="6" borderId="60" xfId="16" applyAlignment="1" applyBorder="1" applyFont="1" applyNumberFormat="1" applyFill="1" applyProtection="1">
      <alignment horizontal="center" vertical="center"/>
      <protection hidden="1"/>
    </xf>
    <xf xxid="2506" numFmtId="0" fontId="5" fillId="6" borderId="61" xfId="16" applyAlignment="1" applyBorder="1" applyFont="1" applyNumberFormat="1" applyFill="1" applyProtection="1">
      <alignment horizontal="center" vertical="center"/>
      <protection hidden="1"/>
    </xf>
    <xf xxid="2507" numFmtId="0" fontId="5" fillId="6" borderId="65" xfId="16" applyAlignment="1" applyBorder="1" applyFont="1" applyNumberFormat="1" applyFill="1" applyProtection="1">
      <alignment horizontal="center" vertical="center"/>
      <protection hidden="1"/>
    </xf>
    <xf xxid="2508" numFmtId="179" fontId="65" fillId="6" borderId="64" xfId="16" applyAlignment="1" applyBorder="1" applyFont="1" applyNumberFormat="1" applyFill="1" applyProtection="1">
      <alignment horizontal="center" vertical="center"/>
      <protection hidden="1"/>
    </xf>
    <xf xxid="2509" numFmtId="179" fontId="65" fillId="6" borderId="61" xfId="16" applyAlignment="1" applyBorder="1" applyFont="1" applyNumberFormat="1" applyFill="1" applyProtection="1">
      <alignment horizontal="center" vertical="center"/>
      <protection hidden="1"/>
    </xf>
    <xf xxid="2510" numFmtId="179" fontId="65" fillId="6" borderId="62" xfId="16" applyAlignment="1" applyBorder="1" applyFont="1" applyNumberFormat="1" applyFill="1" applyProtection="1">
      <alignment horizontal="center" vertical="center"/>
      <protection hidden="1"/>
    </xf>
    <xf xxid="2511" numFmtId="0" fontId="2" fillId="6" borderId="93" xfId="16" applyAlignment="1" applyBorder="1" applyFont="1" applyNumberFormat="1" applyFill="1" applyProtection="1">
      <alignment horizontal="center"/>
      <protection hidden="1"/>
    </xf>
    <xf xxid="2512" numFmtId="0" fontId="2" fillId="6" borderId="7" xfId="16" applyAlignment="1" applyBorder="1" applyFont="1" applyNumberFormat="1" applyFill="1" applyProtection="1">
      <alignment horizontal="center"/>
      <protection hidden="1"/>
    </xf>
    <xf xxid="2513" numFmtId="179" fontId="62" fillId="6" borderId="7" xfId="16" applyAlignment="1" applyBorder="1" applyFont="1" applyNumberFormat="1" applyFill="1" applyProtection="1">
      <alignment horizontal="center"/>
      <protection hidden="1"/>
    </xf>
    <xf xxid="2514" numFmtId="179" fontId="62" fillId="6" borderId="88" xfId="16" applyAlignment="1" applyBorder="1" applyFont="1" applyNumberFormat="1" applyFill="1" applyProtection="1">
      <alignment horizontal="center"/>
      <protection hidden="1"/>
    </xf>
    <xf xxid="2515" numFmtId="0" fontId="62" fillId="6" borderId="63" xfId="16" applyAlignment="1" applyBorder="1" applyFont="1" applyNumberFormat="1" applyFill="1" applyProtection="1">
      <alignment horizontal="center" vertical="top" wrapText="1"/>
      <protection hidden="1"/>
    </xf>
    <xf xxid="2516" numFmtId="0" fontId="62" fillId="6" borderId="76" xfId="16" applyAlignment="1" applyBorder="1" applyFont="1" applyNumberFormat="1" applyFill="1" applyProtection="1">
      <alignment horizontal="center" vertical="top" wrapText="1"/>
      <protection hidden="1"/>
    </xf>
    <xf xxid="2517" numFmtId="169" fontId="65" fillId="6" borderId="64" xfId="19" applyAlignment="1" applyBorder="1" applyFont="1" applyNumberFormat="1" applyFill="1" applyProtection="1">
      <alignment horizontal="center"/>
      <protection hidden="1"/>
    </xf>
    <xf xxid="2518" numFmtId="169" fontId="65" fillId="6" borderId="61" xfId="19" applyAlignment="1" applyBorder="1" applyFont="1" applyNumberFormat="1" applyFill="1" applyProtection="1">
      <alignment horizontal="center"/>
      <protection hidden="1"/>
    </xf>
    <xf xxid="2519" numFmtId="169" fontId="65" fillId="6" borderId="65" xfId="19" applyAlignment="1" applyBorder="1" applyFont="1" applyNumberFormat="1" applyFill="1" applyProtection="1">
      <alignment horizontal="center"/>
      <protection hidden="1"/>
    </xf>
    <xf xxid="2520" numFmtId="169" fontId="62" fillId="6" borderId="63" xfId="19" applyAlignment="1" applyBorder="1" applyFont="1" applyNumberFormat="1" applyFill="1" applyProtection="1">
      <alignment horizontal="center" vertical="top" wrapText="1"/>
      <protection hidden="1" locked="0"/>
    </xf>
    <xf xxid="2521" numFmtId="169" fontId="62" fillId="6" borderId="6" xfId="19" applyAlignment="1" applyBorder="1" applyFont="1" applyNumberFormat="1" applyFill="1" applyProtection="1">
      <alignment horizontal="center" vertical="top" wrapText="1"/>
      <protection hidden="1" locked="0"/>
    </xf>
    <xf xxid="2522" numFmtId="169" fontId="62" fillId="6" borderId="76" xfId="19" applyAlignment="1" applyBorder="1" applyFont="1" applyNumberFormat="1" applyFill="1" applyProtection="1">
      <alignment horizontal="center" vertical="top" wrapText="1"/>
      <protection hidden="1" locked="0"/>
    </xf>
    <xf xxid="2523" numFmtId="0" fontId="40" fillId="6" borderId="0" xfId="16" applyAlignment="1" applyBorder="1" applyFont="1" applyNumberFormat="1" applyFill="1" applyProtection="1">
      <alignment horizontal="left" vertical="top" wrapText="1"/>
      <protection hidden="1"/>
    </xf>
    <xf xxid="2524" numFmtId="175" fontId="65" fillId="6" borderId="64" xfId="1" applyAlignment="1" applyBorder="1" applyFont="1" applyNumberFormat="1" applyFill="1" applyProtection="1">
      <alignment horizontal="center"/>
      <protection hidden="1"/>
    </xf>
    <xf xxid="2525" numFmtId="175" fontId="65" fillId="6" borderId="61" xfId="1" applyAlignment="1" applyBorder="1" applyFont="1" applyNumberFormat="1" applyFill="1" applyProtection="1">
      <alignment horizontal="center"/>
      <protection hidden="1"/>
    </xf>
    <xf xxid="2526" numFmtId="175" fontId="65" fillId="6" borderId="65" xfId="1" applyAlignment="1" applyBorder="1" applyFont="1" applyNumberFormat="1" applyFill="1" applyProtection="1">
      <alignment horizontal="center"/>
      <protection hidden="1"/>
    </xf>
    <xf xxid="2527" numFmtId="0" fontId="83" fillId="19" borderId="144" xfId="16" applyAlignment="1" applyBorder="1" applyFont="1" applyNumberFormat="1" applyFill="1" applyProtection="1">
      <alignment horizontal="center" vertical="center"/>
      <protection hidden="1"/>
    </xf>
    <xf xxid="2528" numFmtId="0" fontId="84" fillId="18" borderId="62" xfId="16" applyAlignment="1" applyBorder="1" applyFont="1" applyNumberFormat="1" applyFill="1" applyProtection="1">
      <alignment horizontal="center" vertical="center"/>
      <protection hidden="1"/>
    </xf>
    <xf xxid="2529" numFmtId="0" fontId="62" fillId="6" borderId="10" xfId="16" applyAlignment="1" applyBorder="1" applyFont="1" applyNumberFormat="1" applyFill="1" applyProtection="1">
      <alignment horizontal="center" vertical="top" wrapText="1"/>
      <protection hidden="1"/>
    </xf>
    <xf xxid="2530" numFmtId="0" fontId="62" fillId="6" borderId="12" xfId="16" applyAlignment="1" applyBorder="1" applyFont="1" applyNumberFormat="1" applyFill="1" applyProtection="1">
      <alignment horizontal="center" vertical="top" wrapText="1"/>
      <protection hidden="1"/>
    </xf>
    <xf xxid="2531" numFmtId="0" fontId="62" fillId="6" borderId="19" xfId="16" applyAlignment="1" applyBorder="1" applyFont="1" applyNumberFormat="1" applyFill="1" applyProtection="1">
      <alignment horizontal="center" vertical="top" wrapText="1"/>
      <protection hidden="1"/>
    </xf>
    <xf xxid="2532" numFmtId="0" fontId="62" fillId="6" borderId="20" xfId="16" applyAlignment="1" applyBorder="1" applyFont="1" applyNumberFormat="1" applyFill="1" applyProtection="1">
      <alignment horizontal="center" vertical="top" wrapText="1"/>
      <protection hidden="1"/>
    </xf>
    <xf xxid="2533" numFmtId="0" fontId="62" fillId="6" borderId="19" xfId="16" applyAlignment="1" applyBorder="1" applyFont="1" applyNumberFormat="1" applyFill="1" applyProtection="1">
      <alignment horizontal="left" vertical="top" wrapText="1"/>
      <protection hidden="1"/>
    </xf>
    <xf xxid="2534" numFmtId="0" fontId="62" fillId="6" borderId="8" xfId="16" applyAlignment="1" applyBorder="1" applyFont="1" applyNumberFormat="1" applyFill="1" applyProtection="1">
      <alignment horizontal="left" vertical="top" wrapText="1"/>
      <protection hidden="1"/>
    </xf>
    <xf xxid="2535" numFmtId="0" fontId="62" fillId="6" borderId="20" xfId="16" applyAlignment="1" applyBorder="1" applyFont="1" applyNumberFormat="1" applyFill="1" applyProtection="1">
      <alignment horizontal="left" vertical="top" wrapText="1"/>
      <protection hidden="1"/>
    </xf>
    <xf xxid="2536" numFmtId="0" fontId="62" fillId="6" borderId="19" xfId="16" applyAlignment="1" applyBorder="1" applyFont="1" applyNumberFormat="1" applyFill="1" applyProtection="1">
      <alignment horizontal="center" vertical="top"/>
      <protection hidden="1"/>
    </xf>
    <xf xxid="2537" numFmtId="0" fontId="62" fillId="6" borderId="20" xfId="16" applyAlignment="1" applyBorder="1" applyFont="1" applyNumberFormat="1" applyFill="1" applyProtection="1">
      <alignment horizontal="center" vertical="top"/>
      <protection hidden="1"/>
    </xf>
    <xf xxid="2538" numFmtId="169" fontId="62" fillId="6" borderId="19" xfId="19" applyAlignment="1" applyBorder="1" applyFont="1" applyNumberFormat="1" applyFill="1" applyProtection="1">
      <alignment horizontal="left" vertical="top"/>
      <protection hidden="1"/>
    </xf>
    <xf xxid="2539" numFmtId="169" fontId="62" fillId="6" borderId="8" xfId="19" applyAlignment="1" applyBorder="1" applyFont="1" applyNumberFormat="1" applyFill="1" applyProtection="1">
      <alignment horizontal="left" vertical="top"/>
      <protection hidden="1"/>
    </xf>
    <xf xxid="2540" numFmtId="169" fontId="62" fillId="6" borderId="20" xfId="19" applyAlignment="1" applyBorder="1" applyFont="1" applyNumberFormat="1" applyFill="1" applyProtection="1">
      <alignment horizontal="left" vertical="top"/>
      <protection hidden="1"/>
    </xf>
    <xf xxid="2541" numFmtId="169" fontId="13" fillId="0" borderId="132" xfId="0" applyAlignment="1" applyBorder="1" applyFont="1" applyNumberFormat="1" applyFill="1" applyProtection="1">
      <alignment horizontal="center" vertical="center"/>
    </xf>
    <xf xxid="2542" numFmtId="169" fontId="13" fillId="0" borderId="133" xfId="0" applyAlignment="1" applyBorder="1" applyFont="1" applyNumberFormat="1" applyFill="1" applyProtection="1">
      <alignment horizontal="center" vertical="center"/>
    </xf>
    <xf xxid="2543" numFmtId="169" fontId="13" fillId="0" borderId="33" xfId="0" applyAlignment="1" applyBorder="1" applyFont="1" applyNumberFormat="1" applyFill="1" applyProtection="1">
      <alignment horizontal="center" vertical="center"/>
    </xf>
    <xf xxid="2544" numFmtId="169" fontId="13" fillId="0" borderId="34" xfId="0" applyAlignment="1" applyBorder="1" applyFont="1" applyNumberFormat="1" applyFill="1" applyProtection="1">
      <alignment horizontal="center" vertical="center"/>
    </xf>
    <xf xxid="2545" numFmtId="0" fontId="5" fillId="0" borderId="13" xfId="0" applyAlignment="1" applyBorder="1" applyFont="1" applyNumberFormat="1" applyFill="1" applyProtection="1">
      <alignment horizontal="center" vertical="center" textRotation="90"/>
    </xf>
    <xf xxid="2546" numFmtId="0" fontId="5" fillId="0" borderId="2" xfId="0" applyAlignment="1" applyBorder="1" applyFont="1" applyNumberFormat="1" applyFill="1" applyProtection="1">
      <alignment horizontal="center" vertical="center" textRotation="90"/>
    </xf>
    <xf xxid="2547" numFmtId="0" fontId="5" fillId="0" borderId="4" xfId="0" applyAlignment="1" applyBorder="1" applyFont="1" applyNumberFormat="1" applyFill="1" applyProtection="1">
      <alignment horizontal="center" vertical="center" textRotation="90"/>
    </xf>
    <xf xxid="2548" numFmtId="0" fontId="5" fillId="0" borderId="5" xfId="0" applyAlignment="1" applyBorder="1" applyFont="1" applyNumberFormat="1" applyFill="1" applyProtection="1">
      <alignment horizontal="center" vertical="center" textRotation="90"/>
    </xf>
    <xf xxid="2549" numFmtId="0" fontId="5" fillId="0" borderId="14" xfId="0" applyAlignment="1" applyBorder="1" applyFont="1" applyNumberFormat="1" applyFill="1" applyProtection="1">
      <alignment horizontal="center" vertical="center" textRotation="90"/>
    </xf>
    <xf xxid="2550" numFmtId="0" fontId="5" fillId="0" borderId="3" xfId="0" applyAlignment="1" applyBorder="1" applyFont="1" applyNumberFormat="1" applyFill="1" applyProtection="1">
      <alignment horizontal="center" vertical="center" textRotation="90"/>
    </xf>
    <xf xxid="2551" numFmtId="0" fontId="6" fillId="0" borderId="0" xfId="0" applyAlignment="1" applyBorder="1" applyFont="1" applyNumberFormat="1" applyFill="1" applyProtection="1">
      <alignment horizontal="left" vertical="top" wrapText="1"/>
    </xf>
    <xf xxid="2552" numFmtId="0" fontId="5" fillId="0" borderId="13" xfId="0" applyAlignment="1" applyBorder="1" applyFont="1" applyNumberFormat="1" applyFill="1" applyProtection="1">
      <alignment horizontal="center" vertical="center" wrapText="1"/>
    </xf>
    <xf xxid="2553" numFmtId="0" fontId="5" fillId="0" borderId="6" xfId="0" applyAlignment="1" applyBorder="1" applyFont="1" applyNumberFormat="1" applyFill="1" applyProtection="1">
      <alignment horizontal="center" vertical="center" wrapText="1"/>
    </xf>
    <xf xxid="2554" numFmtId="0" fontId="9" fillId="0" borderId="0" xfId="0" applyAlignment="1" applyBorder="1" applyFont="1" applyNumberFormat="1" applyFill="1" applyProtection="1">
      <alignment horizontal="left"/>
    </xf>
    <xf xxid="2555" numFmtId="0" fontId="11" fillId="0" borderId="0" xfId="0" applyAlignment="1" applyBorder="1" applyFont="1" applyNumberFormat="1" applyFill="1" applyProtection="1">
      <alignment horizontal="center" vertical="center"/>
    </xf>
    <xf xxid="2556" numFmtId="0" fontId="12" fillId="0" borderId="23" xfId="0" applyAlignment="1" applyBorder="1" applyFont="1" applyNumberFormat="1" applyFill="1" applyProtection="1">
      <alignment horizontal="center" textRotation="90"/>
    </xf>
    <xf xxid="2557" numFmtId="0" fontId="12" fillId="0" borderId="9" xfId="0" applyAlignment="1" applyBorder="1" applyFont="1" applyNumberFormat="1" applyFill="1" applyProtection="1">
      <alignment horizontal="center" textRotation="90"/>
    </xf>
    <xf xxid="2558" numFmtId="0" fontId="12" fillId="0" borderId="22" xfId="0" applyAlignment="1" applyBorder="1" applyFont="1" applyNumberFormat="1" applyFill="1" applyProtection="1">
      <alignment horizontal="center" textRotation="90"/>
    </xf>
    <xf xxid="2559" numFmtId="0" fontId="12" fillId="0" borderId="10" xfId="0" applyAlignment="1" applyBorder="1" applyFont="1" applyNumberFormat="1" applyFill="1" applyProtection="1">
      <alignment horizontal="center" textRotation="90"/>
    </xf>
    <xf xxid="2560" numFmtId="0" fontId="12" fillId="0" borderId="0" xfId="0" applyAlignment="1" applyBorder="1" applyFont="1" applyNumberFormat="1" applyFill="1" applyProtection="1">
      <alignment horizontal="center" textRotation="90"/>
    </xf>
    <xf xxid="2561" numFmtId="0" fontId="12" fillId="0" borderId="12" xfId="0" applyAlignment="1" applyBorder="1" applyFont="1" applyNumberFormat="1" applyFill="1" applyProtection="1">
      <alignment horizontal="center" textRotation="90"/>
    </xf>
    <xf xxid="2562" numFmtId="0" fontId="12" fillId="0" borderId="19" xfId="0" applyAlignment="1" applyBorder="1" applyFont="1" applyNumberFormat="1" applyFill="1" applyProtection="1">
      <alignment horizontal="center" textRotation="90"/>
    </xf>
    <xf xxid="2563" numFmtId="0" fontId="12" fillId="0" borderId="8" xfId="0" applyAlignment="1" applyBorder="1" applyFont="1" applyNumberFormat="1" applyFill="1" applyProtection="1">
      <alignment horizontal="center" textRotation="90"/>
    </xf>
    <xf xxid="2564" numFmtId="0" fontId="12" fillId="0" borderId="20" xfId="0" applyAlignment="1" applyBorder="1" applyFont="1" applyNumberFormat="1" applyFill="1" applyProtection="1">
      <alignment horizontal="center" textRotation="90"/>
    </xf>
    <xf xxid="2565" numFmtId="0" fontId="6" fillId="0" borderId="12" xfId="0" applyAlignment="1" applyBorder="1" applyFont="1" applyNumberFormat="1" applyFill="1" applyProtection="1">
      <alignment horizontal="left" vertical="top" wrapText="1"/>
    </xf>
    <xf xxid="2566" numFmtId="0" fontId="6" fillId="0" borderId="10" xfId="0" applyAlignment="1" applyBorder="1" applyFont="1" applyNumberFormat="1" applyFill="1" applyProtection="1">
      <alignment horizontal="left" wrapText="1"/>
    </xf>
    <xf xxid="2567" numFmtId="0" fontId="6" fillId="0" borderId="0" xfId="0" applyAlignment="1" applyBorder="1" applyFont="1" applyNumberFormat="1" applyFill="1" applyProtection="1">
      <alignment horizontal="left" wrapText="1"/>
    </xf>
    <xf xxid="2568" numFmtId="0" fontId="12" fillId="0" borderId="0" xfId="0" applyAlignment="1" applyBorder="1" applyFont="1" applyNumberFormat="1" applyFill="1" applyProtection="1">
      <alignment horizontal="center" vertical="center"/>
    </xf>
    <xf xxid="2569" numFmtId="0" fontId="3" fillId="0" borderId="10" xfId="0" applyAlignment="1" applyBorder="1" applyFont="1" applyNumberFormat="1" applyFill="1" applyProtection="1">
      <alignment horizontal="left" vertical="center"/>
    </xf>
    <xf xxid="2570" numFmtId="0" fontId="3" fillId="0" borderId="19" xfId="0" applyAlignment="1" applyBorder="1" applyFont="1" applyNumberFormat="1" applyFill="1" applyProtection="1">
      <alignment horizontal="left" vertical="center"/>
    </xf>
    <xf xxid="2571" numFmtId="0" fontId="3" fillId="0" borderId="8" xfId="0" applyAlignment="1" applyBorder="1" applyFont="1" applyNumberFormat="1" applyFill="1" applyProtection="1">
      <alignment horizontal="left" vertical="center"/>
    </xf>
    <xf xxid="2572" numFmtId="0" fontId="3" fillId="0" borderId="20" xfId="0" applyAlignment="1" applyBorder="1" applyFont="1" applyNumberFormat="1" applyFill="1" applyProtection="1">
      <alignment horizontal="left" vertical="center"/>
    </xf>
    <xf xxid="2573" numFmtId="0" fontId="3" fillId="0" borderId="9" xfId="0" applyAlignment="1" applyBorder="1" applyFont="1" applyNumberFormat="1" applyFill="1" applyProtection="1">
      <alignment horizontal="left" vertical="center"/>
    </xf>
    <xf xxid="2574" numFmtId="0" fontId="3" fillId="0" borderId="22" xfId="0" applyAlignment="1" applyBorder="1" applyFont="1" applyNumberFormat="1" applyFill="1" applyProtection="1">
      <alignment horizontal="left" vertical="center"/>
    </xf>
    <xf xxid="2575" numFmtId="0" fontId="3" fillId="0" borderId="12" xfId="0" applyAlignment="1" applyBorder="1" applyFont="1" applyNumberFormat="1" applyFill="1" applyProtection="1">
      <alignment horizontal="center"/>
    </xf>
    <xf xxid="2576" numFmtId="0" fontId="3" fillId="0" borderId="24" xfId="0" applyAlignment="1" applyBorder="1" applyFont="1" applyNumberFormat="1" applyFill="1" applyProtection="1">
      <alignment horizontal="center"/>
    </xf>
    <xf xxid="2577" numFmtId="0" fontId="3" fillId="0" borderId="21" xfId="0" applyAlignment="1" applyBorder="1" applyFont="1" applyNumberFormat="1" applyFill="1" applyProtection="1">
      <alignment horizontal="center"/>
    </xf>
    <xf xxid="2578" numFmtId="0" fontId="3" fillId="0" borderId="30" xfId="0" applyAlignment="1" applyBorder="1" applyFont="1" applyNumberFormat="1" applyFill="1" applyProtection="1">
      <alignment horizontal="center"/>
    </xf>
    <xf xxid="2579" numFmtId="0" fontId="3" fillId="0" borderId="22" xfId="0" applyAlignment="1" applyBorder="1" applyFont="1" applyNumberFormat="1" applyFill="1" applyProtection="1">
      <alignment horizontal="center"/>
    </xf>
    <xf xxid="2580" numFmtId="0" fontId="17" fillId="0" borderId="19" xfId="0" applyAlignment="1" applyBorder="1" applyFont="1" applyNumberFormat="1" applyFill="1" applyProtection="1">
      <alignment horizontal="center" vertical="center" wrapText="1"/>
    </xf>
    <xf xxid="2581" numFmtId="0" fontId="17" fillId="0" borderId="8" xfId="0" applyAlignment="1" applyBorder="1" applyFont="1" applyNumberFormat="1" applyFill="1" applyProtection="1">
      <alignment horizontal="center" vertical="center" wrapText="1"/>
    </xf>
    <xf xxid="2582" numFmtId="0" fontId="17" fillId="0" borderId="20" xfId="0" applyAlignment="1" applyBorder="1" applyFont="1" applyNumberFormat="1" applyFill="1" applyProtection="1">
      <alignment horizontal="center" vertical="center" wrapText="1"/>
    </xf>
    <xf xxid="2583" numFmtId="169" fontId="17" fillId="0" borderId="23" xfId="0" applyAlignment="1" applyBorder="1" applyFont="1" applyNumberFormat="1" applyFill="1" applyProtection="1">
      <alignment horizontal="center" vertical="center" wrapText="1"/>
    </xf>
    <xf xxid="2584" numFmtId="169" fontId="17" fillId="0" borderId="9" xfId="0" applyAlignment="1" applyBorder="1" applyFont="1" applyNumberFormat="1" applyFill="1" applyProtection="1">
      <alignment horizontal="center" vertical="center" wrapText="1"/>
    </xf>
    <xf xxid="2585" numFmtId="169" fontId="17" fillId="0" borderId="19" xfId="0" applyAlignment="1" applyBorder="1" applyFont="1" applyNumberFormat="1" applyFill="1" applyProtection="1">
      <alignment horizontal="center" vertical="center" wrapText="1"/>
    </xf>
    <xf xxid="2586" numFmtId="169" fontId="17" fillId="0" borderId="8" xfId="0" applyAlignment="1" applyBorder="1" applyFont="1" applyNumberFormat="1" applyFill="1" applyProtection="1">
      <alignment horizontal="center" vertical="center" wrapText="1"/>
    </xf>
    <xf xxid="2587" numFmtId="169" fontId="17" fillId="0" borderId="10" xfId="0" applyAlignment="1" applyBorder="1" applyFont="1" applyNumberFormat="1" applyFill="1" applyProtection="1">
      <alignment horizontal="center" vertical="center" wrapText="1"/>
    </xf>
    <xf xxid="2588" numFmtId="169" fontId="17" fillId="0" borderId="0" xfId="0" applyAlignment="1" applyBorder="1" applyFont="1" applyNumberFormat="1" applyFill="1" applyProtection="1">
      <alignment horizontal="center" vertical="center" wrapText="1"/>
    </xf>
    <xf xxid="2589" numFmtId="169" fontId="17" fillId="0" borderId="12" xfId="0" applyAlignment="1" applyBorder="1" applyFont="1" applyNumberFormat="1" applyFill="1" applyProtection="1">
      <alignment horizontal="center" vertical="center" wrapText="1"/>
    </xf>
    <xf xxid="2590" numFmtId="169" fontId="17" fillId="0" borderId="20" xfId="0" applyAlignment="1" applyBorder="1" applyFont="1" applyNumberFormat="1" applyFill="1" applyProtection="1">
      <alignment horizontal="center" vertical="center" wrapText="1"/>
    </xf>
    <xf xxid="2591" numFmtId="169" fontId="17" fillId="0" borderId="23" xfId="0" applyAlignment="1" applyBorder="1" applyFont="1" applyNumberFormat="1" applyFill="1" applyProtection="1">
      <alignment horizontal="left" vertical="center" wrapText="1"/>
    </xf>
    <xf xxid="2592" numFmtId="169" fontId="17" fillId="0" borderId="9" xfId="0" applyAlignment="1" applyBorder="1" applyFont="1" applyNumberFormat="1" applyFill="1" applyProtection="1">
      <alignment horizontal="left" vertical="center" wrapText="1"/>
    </xf>
    <xf xxid="2593" numFmtId="169" fontId="17" fillId="0" borderId="22" xfId="0" applyAlignment="1" applyBorder="1" applyFont="1" applyNumberFormat="1" applyFill="1" applyProtection="1">
      <alignment horizontal="left" vertical="center" wrapText="1"/>
    </xf>
    <xf xxid="2594" numFmtId="169" fontId="17" fillId="0" borderId="19" xfId="0" applyAlignment="1" applyBorder="1" applyFont="1" applyNumberFormat="1" applyFill="1" applyProtection="1">
      <alignment horizontal="left" vertical="center" wrapText="1"/>
    </xf>
    <xf xxid="2595" numFmtId="169" fontId="17" fillId="0" borderId="8" xfId="0" applyAlignment="1" applyBorder="1" applyFont="1" applyNumberFormat="1" applyFill="1" applyProtection="1">
      <alignment horizontal="left" vertical="center" wrapText="1"/>
    </xf>
    <xf xxid="2596" numFmtId="169" fontId="17" fillId="0" borderId="20" xfId="0" applyAlignment="1" applyBorder="1" applyFont="1" applyNumberFormat="1" applyFill="1" applyProtection="1">
      <alignment horizontal="left" vertical="center" wrapText="1"/>
    </xf>
    <xf xxid="2597" numFmtId="169" fontId="17" fillId="0" borderId="23" xfId="0" applyAlignment="1" applyBorder="1" applyFont="1" applyNumberFormat="1" applyFill="1" applyProtection="1">
      <alignment horizontal="right" vertical="center" wrapText="1"/>
    </xf>
    <xf xxid="2598" numFmtId="169" fontId="17" fillId="0" borderId="9" xfId="0" applyAlignment="1" applyBorder="1" applyFont="1" applyNumberFormat="1" applyFill="1" applyProtection="1">
      <alignment horizontal="right" vertical="center" wrapText="1"/>
    </xf>
    <xf xxid="2599" numFmtId="169" fontId="17" fillId="0" borderId="10" xfId="0" applyAlignment="1" applyBorder="1" applyFont="1" applyNumberFormat="1" applyFill="1" applyProtection="1">
      <alignment horizontal="right" vertical="center" wrapText="1"/>
    </xf>
    <xf xxid="2600" numFmtId="169" fontId="17" fillId="0" borderId="0" xfId="0" applyAlignment="1" applyBorder="1" applyFont="1" applyNumberFormat="1" applyFill="1" applyProtection="1">
      <alignment horizontal="right" vertical="center" wrapText="1"/>
    </xf>
    <xf xxid="2601" numFmtId="169" fontId="17" fillId="0" borderId="19" xfId="0" applyAlignment="1" applyBorder="1" applyFont="1" applyNumberFormat="1" applyFill="1" applyProtection="1">
      <alignment horizontal="right" vertical="center" wrapText="1"/>
    </xf>
    <xf xxid="2602" numFmtId="169" fontId="17" fillId="0" borderId="8" xfId="0" applyAlignment="1" applyBorder="1" applyFont="1" applyNumberFormat="1" applyFill="1" applyProtection="1">
      <alignment horizontal="right" vertical="center" wrapText="1"/>
    </xf>
    <xf xxid="2603" numFmtId="169" fontId="17" fillId="0" borderId="33" xfId="0" applyAlignment="1" applyBorder="1" applyFont="1" applyNumberFormat="1" applyFill="1" applyProtection="1">
      <alignment horizontal="center" vertical="center" wrapText="1"/>
    </xf>
    <xf xxid="2604" numFmtId="169" fontId="17" fillId="0" borderId="34" xfId="0" applyAlignment="1" applyBorder="1" applyFont="1" applyNumberFormat="1" applyFill="1" applyProtection="1">
      <alignment horizontal="center" vertical="center" wrapText="1"/>
    </xf>
    <xf xxid="2605" numFmtId="0" fontId="17" fillId="0" borderId="33" xfId="0" applyAlignment="1" applyBorder="1" applyFont="1" applyNumberFormat="1" applyFill="1" applyProtection="1">
      <alignment horizontal="center" vertical="center" wrapText="1"/>
    </xf>
    <xf xxid="2606" numFmtId="0" fontId="17" fillId="0" borderId="34" xfId="0" applyAlignment="1" applyBorder="1" applyFont="1" applyNumberFormat="1" applyFill="1" applyProtection="1">
      <alignment horizontal="center" vertical="center" wrapText="1"/>
    </xf>
    <xf xxid="2607" numFmtId="0" fontId="17" fillId="0" borderId="31" xfId="0" applyAlignment="1" applyBorder="1" applyFont="1" applyNumberFormat="1" applyFill="1" applyProtection="1">
      <alignment horizontal="center" vertical="center" wrapText="1"/>
    </xf>
    <xf xxid="2608" numFmtId="0" fontId="36" fillId="0" borderId="10" xfId="0" applyAlignment="1" applyBorder="1" applyFont="1" applyNumberFormat="1" applyFill="1" applyProtection="1">
      <alignment horizontal="center" vertical="center" wrapText="1"/>
    </xf>
    <xf xxid="2609" numFmtId="0" fontId="36" fillId="0" borderId="12" xfId="0" applyAlignment="1" applyBorder="1" applyFont="1" applyNumberFormat="1" applyFill="1" applyProtection="1">
      <alignment horizontal="center" vertical="center" wrapText="1"/>
    </xf>
    <xf xxid="2610" numFmtId="0" fontId="36" fillId="0" borderId="19" xfId="0" applyAlignment="1" applyBorder="1" applyFont="1" applyNumberFormat="1" applyFill="1" applyProtection="1">
      <alignment horizontal="center" vertical="center" wrapText="1"/>
    </xf>
    <xf xxid="2611" numFmtId="0" fontId="36" fillId="0" borderId="8" xfId="0" applyAlignment="1" applyBorder="1" applyFont="1" applyNumberFormat="1" applyFill="1" applyProtection="1">
      <alignment horizontal="center" vertical="center" wrapText="1"/>
    </xf>
    <xf xxid="2612" numFmtId="0" fontId="36" fillId="0" borderId="20" xfId="0" applyAlignment="1" applyBorder="1" applyFont="1" applyNumberFormat="1" applyFill="1" applyProtection="1">
      <alignment horizontal="center" vertical="center" wrapText="1"/>
    </xf>
    <xf xxid="2613" numFmtId="169" fontId="17" fillId="0" borderId="31" xfId="0" applyAlignment="1" applyBorder="1" applyFont="1" applyNumberFormat="1" applyFill="1" applyProtection="1">
      <alignment horizontal="center" vertical="center" wrapText="1"/>
    </xf>
    <xf xxid="2614" numFmtId="0" fontId="36" fillId="0" borderId="33" xfId="0" applyAlignment="1" applyBorder="1" applyFont="1" applyNumberFormat="1" applyFill="1" applyProtection="1">
      <alignment horizontal="center" vertical="center" wrapText="1"/>
    </xf>
    <xf xxid="2615" numFmtId="0" fontId="36" fillId="0" borderId="34" xfId="0" applyAlignment="1" applyBorder="1" applyFont="1" applyNumberFormat="1" applyFill="1" applyProtection="1">
      <alignment horizontal="center" vertical="center" wrapText="1"/>
    </xf>
    <xf xxid="2616" numFmtId="0" fontId="36" fillId="0" borderId="31" xfId="0" applyAlignment="1" applyBorder="1" applyFont="1" applyNumberFormat="1" applyFill="1" applyProtection="1">
      <alignment horizontal="center" vertical="center" wrapText="1"/>
    </xf>
    <xf xxid="2617" numFmtId="173" fontId="17" fillId="0" borderId="33" xfId="0" applyAlignment="1" applyBorder="1" applyFont="1" applyNumberFormat="1" applyFill="1" applyProtection="1">
      <alignment horizontal="center" vertical="center" wrapText="1"/>
    </xf>
    <xf xxid="2618" numFmtId="173" fontId="17" fillId="0" borderId="34" xfId="0" applyAlignment="1" applyBorder="1" applyFont="1" applyNumberFormat="1" applyFill="1" applyProtection="1">
      <alignment horizontal="center" vertical="center" wrapText="1"/>
    </xf>
    <xf xxid="2619" numFmtId="173" fontId="17" fillId="0" borderId="31" xfId="0" applyAlignment="1" applyBorder="1" applyFont="1" applyNumberFormat="1" applyFill="1" applyProtection="1">
      <alignment horizontal="center" vertical="center" wrapText="1"/>
    </xf>
    <xf xxid="2620" numFmtId="0" fontId="3" fillId="0" borderId="23" xfId="0" applyAlignment="1" applyBorder="1" applyFont="1" applyNumberFormat="1" applyFill="1" applyProtection="1">
      <alignment horizontal="left" vertical="center"/>
    </xf>
    <xf xxid="2621" numFmtId="0" fontId="3" fillId="0" borderId="31" xfId="0" applyAlignment="1" applyBorder="1" applyFont="1" applyNumberFormat="1" applyFill="1" applyProtection="1">
      <alignment horizontal="left" vertical="center"/>
    </xf>
    <xf xxid="2622" numFmtId="169" fontId="17" fillId="0" borderId="22" xfId="0" applyAlignment="1" applyBorder="1" applyFont="1" applyNumberFormat="1" applyFill="1" applyProtection="1">
      <alignment horizontal="center" vertical="center" wrapText="1"/>
    </xf>
    <xf xxid="2623" numFmtId="169" fontId="36" fillId="0" borderId="23" xfId="0" applyAlignment="1" applyBorder="1" applyFont="1" applyNumberFormat="1" applyFill="1" applyProtection="1">
      <alignment horizontal="center" vertical="center" wrapText="1"/>
    </xf>
    <xf xxid="2624" numFmtId="169" fontId="36" fillId="0" borderId="9" xfId="0" applyAlignment="1" applyBorder="1" applyFont="1" applyNumberFormat="1" applyFill="1" applyProtection="1">
      <alignment horizontal="center" vertical="center" wrapText="1"/>
    </xf>
    <xf xxid="2625" numFmtId="169" fontId="36" fillId="0" borderId="22" xfId="0" applyAlignment="1" applyBorder="1" applyFont="1" applyNumberFormat="1" applyFill="1" applyProtection="1">
      <alignment horizontal="center" vertical="center" wrapText="1"/>
    </xf>
    <xf xxid="2626" numFmtId="169" fontId="36" fillId="0" borderId="19" xfId="0" applyAlignment="1" applyBorder="1" applyFont="1" applyNumberFormat="1" applyFill="1" applyProtection="1">
      <alignment horizontal="center" vertical="center" wrapText="1"/>
    </xf>
    <xf xxid="2627" numFmtId="169" fontId="36" fillId="0" borderId="8" xfId="0" applyAlignment="1" applyBorder="1" applyFont="1" applyNumberFormat="1" applyFill="1" applyProtection="1">
      <alignment horizontal="center" vertical="center" wrapText="1"/>
    </xf>
    <xf xxid="2628" numFmtId="169" fontId="36" fillId="0" borderId="20" xfId="0" applyAlignment="1" applyBorder="1" applyFont="1" applyNumberFormat="1" applyFill="1" applyProtection="1">
      <alignment horizontal="center" vertical="center" wrapText="1"/>
    </xf>
    <xf xxid="2629" numFmtId="169" fontId="36" fillId="0" borderId="10" xfId="0" applyAlignment="1" applyBorder="1" applyFont="1" applyNumberFormat="1" applyFill="1" applyProtection="1">
      <alignment horizontal="center" vertical="center" wrapText="1"/>
    </xf>
    <xf xxid="2630" numFmtId="169" fontId="36" fillId="0" borderId="0" xfId="0" applyAlignment="1" applyBorder="1" applyFont="1" applyNumberFormat="1" applyFill="1" applyProtection="1">
      <alignment horizontal="center" vertical="center" wrapText="1"/>
    </xf>
    <xf xxid="2631" numFmtId="169" fontId="36" fillId="0" borderId="12" xfId="0" applyAlignment="1" applyBorder="1" applyFont="1" applyNumberFormat="1" applyFill="1" applyProtection="1">
      <alignment horizontal="center" vertical="center" wrapText="1"/>
    </xf>
    <xf xxid="2632" numFmtId="169" fontId="17" fillId="0" borderId="10" xfId="0" applyAlignment="1" applyBorder="1" applyFont="1" applyNumberFormat="1" applyFill="1" applyProtection="1">
      <alignment horizontal="left" vertical="center" wrapText="1"/>
    </xf>
    <xf xxid="2633" numFmtId="0" fontId="17" fillId="0" borderId="23" xfId="0" applyAlignment="1" applyBorder="1" applyFont="1" applyNumberFormat="1" applyFill="1" applyProtection="1">
      <alignment horizontal="left" vertical="center" wrapText="1"/>
    </xf>
    <xf xxid="2634" numFmtId="169" fontId="17" fillId="0" borderId="23" xfId="0" applyAlignment="1" applyBorder="1" applyFont="1" applyNumberFormat="1" applyFill="1" applyProtection="1">
      <alignment horizontal="right" vertical="center"/>
    </xf>
    <xf xxid="2635" numFmtId="169" fontId="17" fillId="0" borderId="9" xfId="0" applyAlignment="1" applyBorder="1" applyFont="1" applyNumberFormat="1" applyFill="1" applyProtection="1">
      <alignment horizontal="right" vertical="center"/>
    </xf>
    <xf xxid="2636" numFmtId="169" fontId="17" fillId="0" borderId="10" xfId="0" applyAlignment="1" applyBorder="1" applyFont="1" applyNumberFormat="1" applyFill="1" applyProtection="1">
      <alignment horizontal="right" vertical="center"/>
    </xf>
    <xf xxid="2637" numFmtId="175" fontId="17" fillId="0" borderId="23" xfId="1" applyAlignment="1" applyBorder="1" applyFont="1" applyNumberFormat="1" applyFill="1" applyProtection="1">
      <alignment horizontal="right" vertical="center"/>
    </xf>
    <xf xxid="2638" numFmtId="175" fontId="17" fillId="0" borderId="9" xfId="1" applyAlignment="1" applyBorder="1" applyFont="1" applyNumberFormat="1" applyFill="1" applyProtection="1">
      <alignment horizontal="right" vertical="center"/>
    </xf>
    <xf xxid="2639" numFmtId="175" fontId="17" fillId="0" borderId="10" xfId="1" applyAlignment="1" applyBorder="1" applyFont="1" applyNumberFormat="1" applyFill="1" applyProtection="1">
      <alignment horizontal="right" vertical="center"/>
    </xf>
    <xf xxid="2640" numFmtId="175" fontId="17" fillId="0" borderId="0" xfId="1" applyAlignment="1" applyBorder="1" applyFont="1" applyNumberFormat="1" applyFill="1" applyProtection="1">
      <alignment horizontal="right" vertical="center"/>
    </xf>
    <xf xxid="2641" numFmtId="0" fontId="0" fillId="0" borderId="9" xfId="0" applyAlignment="1" applyBorder="1" applyFont="1" applyNumberFormat="1" applyFill="1" applyProtection="1">
      <alignment horizontal="center" vertical="center"/>
    </xf>
    <xf xxid="2642" numFmtId="0" fontId="0" fillId="0" borderId="22" xfId="0" applyAlignment="1" applyBorder="1" applyFont="1" applyNumberFormat="1" applyFill="1" applyProtection="1">
      <alignment horizontal="center" vertical="center"/>
    </xf>
    <xf xxid="2643" numFmtId="0" fontId="0" fillId="0" borderId="12" xfId="0" applyAlignment="1" applyBorder="1" applyFont="1" applyNumberFormat="1" applyFill="1" applyProtection="1">
      <alignment horizontal="center" vertical="center"/>
    </xf>
    <xf xxid="2644" numFmtId="0" fontId="0" fillId="0" borderId="19" xfId="0" applyAlignment="1" applyBorder="1" applyFont="1" applyNumberFormat="1" applyFill="1" applyProtection="1">
      <alignment horizontal="center" vertical="center"/>
    </xf>
    <xf xxid="2645" numFmtId="0" fontId="0" fillId="0" borderId="8" xfId="0" applyAlignment="1" applyBorder="1" applyFont="1" applyNumberFormat="1" applyFill="1" applyProtection="1">
      <alignment horizontal="center" vertical="center"/>
    </xf>
    <xf xxid="2646" numFmtId="0" fontId="0" fillId="0" borderId="20" xfId="0" applyAlignment="1" applyBorder="1" applyFont="1" applyNumberFormat="1" applyFill="1" applyProtection="1">
      <alignment horizontal="center" vertical="center"/>
    </xf>
    <xf xxid="2647" numFmtId="0" fontId="3" fillId="0" borderId="10" xfId="0" applyAlignment="1" applyBorder="1" applyFont="1" applyNumberFormat="1" applyFill="1" applyProtection="1">
      <alignment vertical="center" wrapText="1"/>
    </xf>
    <xf xxid="2648" numFmtId="0" fontId="3" fillId="0" borderId="0" xfId="0" applyAlignment="1" applyBorder="1" applyFont="1" applyNumberFormat="1" applyFill="1" applyProtection="1">
      <alignment vertical="center" wrapText="1"/>
    </xf>
    <xf xxid="2649" numFmtId="0" fontId="3" fillId="0" borderId="12" xfId="0" applyAlignment="1" applyBorder="1" applyFont="1" applyNumberFormat="1" applyFill="1" applyProtection="1">
      <alignment vertical="center" wrapText="1"/>
    </xf>
    <xf xxid="2650" numFmtId="0" fontId="3" fillId="0" borderId="19" xfId="0" applyAlignment="1" applyBorder="1" applyFont="1" applyNumberFormat="1" applyFill="1" applyProtection="1">
      <alignment vertical="center" wrapText="1"/>
    </xf>
    <xf xxid="2651" numFmtId="0" fontId="3" fillId="0" borderId="8" xfId="0" applyAlignment="1" applyBorder="1" applyFont="1" applyNumberFormat="1" applyFill="1" applyProtection="1">
      <alignment vertical="center" wrapText="1"/>
    </xf>
    <xf xxid="2652" numFmtId="0" fontId="3" fillId="0" borderId="20" xfId="0" applyAlignment="1" applyBorder="1" applyFont="1" applyNumberFormat="1" applyFill="1" applyProtection="1">
      <alignment vertical="center" wrapText="1"/>
    </xf>
    <xf xxid="2653" numFmtId="0" fontId="3" fillId="0" borderId="10" xfId="0" applyAlignment="1" applyBorder="1" applyFont="1" applyNumberFormat="1" applyFill="1" applyProtection="1">
      <alignment horizontal="left" vertical="center" wrapText="1"/>
    </xf>
    <xf xxid="2654" numFmtId="0" fontId="3" fillId="0" borderId="19" xfId="0" applyAlignment="1" applyBorder="1" applyFont="1" applyNumberFormat="1" applyFill="1" applyProtection="1">
      <alignment horizontal="left" vertical="center" wrapText="1"/>
    </xf>
    <xf xxid="2655" numFmtId="0" fontId="3" fillId="0" borderId="8" xfId="0" applyAlignment="1" applyBorder="1" applyFont="1" applyNumberFormat="1" applyFill="1" applyProtection="1">
      <alignment horizontal="left" vertical="center" wrapText="1"/>
    </xf>
    <xf xxid="2656" numFmtId="0" fontId="3" fillId="0" borderId="20" xfId="0" applyAlignment="1" applyBorder="1" applyFont="1" applyNumberFormat="1" applyFill="1" applyProtection="1">
      <alignment horizontal="left" vertical="center" wrapText="1"/>
    </xf>
    <xf xxid="2657" numFmtId="0" fontId="3" fillId="0" borderId="19" xfId="0" applyAlignment="1" applyBorder="1" applyFont="1" applyNumberFormat="1" applyFill="1" applyProtection="1">
      <alignment horizontal="left" vertical="top"/>
    </xf>
    <xf xxid="2658" numFmtId="0" fontId="3" fillId="0" borderId="8" xfId="0" applyAlignment="1" applyBorder="1" applyFont="1" applyNumberFormat="1" applyFill="1" applyProtection="1">
      <alignment horizontal="left" vertical="top"/>
    </xf>
    <xf xxid="2659" numFmtId="166" fontId="17" fillId="0" borderId="23" xfId="0" applyAlignment="1" applyBorder="1" applyFont="1" applyNumberFormat="1" applyFill="1" applyProtection="1">
      <alignment horizontal="right" vertical="center"/>
    </xf>
    <xf xxid="2660" numFmtId="166" fontId="17" fillId="0" borderId="9" xfId="0" applyAlignment="1" applyBorder="1" applyFont="1" applyNumberFormat="1" applyFill="1" applyProtection="1">
      <alignment horizontal="right" vertical="center"/>
    </xf>
    <xf xxid="2661" numFmtId="0" fontId="10" fillId="0" borderId="0" xfId="0" applyAlignment="1" applyBorder="1" applyFont="1" applyNumberFormat="1" applyFill="1" applyProtection="1">
      <alignment horizontal="center" vertical="center"/>
    </xf>
    <xf xxid="2662" numFmtId="0" fontId="10" fillId="0" borderId="5" xfId="0" applyAlignment="1" applyBorder="1" applyFont="1" applyNumberFormat="1" applyFill="1" applyProtection="1">
      <alignment horizontal="center" vertical="center"/>
    </xf>
    <xf xxid="2663" numFmtId="0" fontId="6" fillId="0" borderId="6" xfId="0" applyAlignment="1" applyBorder="1" applyFont="1" applyNumberFormat="1" applyFill="1" applyProtection="1">
      <alignment horizontal="left" vertical="center" wrapText="1"/>
    </xf>
    <xf xxid="2664" numFmtId="0" fontId="3" fillId="0" borderId="19" xfId="0" applyAlignment="1" applyBorder="1" applyFont="1" applyNumberFormat="1" applyFill="1" applyProtection="1">
      <alignment horizontal="center"/>
    </xf>
    <xf xxid="2665" numFmtId="0" fontId="3" fillId="0" borderId="8" xfId="0" applyAlignment="1" applyBorder="1" applyFont="1" applyNumberFormat="1" applyFill="1" applyProtection="1">
      <alignment horizontal="center"/>
    </xf>
    <xf xxid="2666" numFmtId="0" fontId="3" fillId="0" borderId="20" xfId="0" applyAlignment="1" applyBorder="1" applyFont="1" applyNumberFormat="1" applyFill="1" applyProtection="1">
      <alignment horizontal="center"/>
    </xf>
    <xf xxid="2667" numFmtId="0" fontId="17" fillId="0" borderId="4" xfId="0" applyAlignment="1" applyBorder="1" applyFont="1" applyNumberFormat="1" applyFill="1" applyProtection="1">
      <alignment horizontal="center" vertical="center"/>
    </xf>
    <xf xxid="2668" numFmtId="0" fontId="17" fillId="0" borderId="5" xfId="0" applyAlignment="1" applyBorder="1" applyFont="1" applyNumberFormat="1" applyFill="1" applyProtection="1">
      <alignment horizontal="center" vertical="center"/>
    </xf>
    <xf xxid="2669" numFmtId="0" fontId="3" fillId="0" borderId="23" xfId="0" applyAlignment="1" applyBorder="1" applyFont="1" applyNumberFormat="1" applyFill="1" applyProtection="1">
      <alignment horizontal="left" vertical="center" wrapText="1"/>
    </xf>
    <xf xxid="2670" numFmtId="0" fontId="3" fillId="0" borderId="9" xfId="0" applyAlignment="1" applyBorder="1" applyFont="1" applyNumberFormat="1" applyFill="1" applyProtection="1">
      <alignment horizontal="left" vertical="center" wrapText="1"/>
    </xf>
    <xf xxid="2671" numFmtId="0" fontId="3" fillId="0" borderId="22" xfId="0" applyAlignment="1" applyBorder="1" applyFont="1" applyNumberFormat="1" applyFill="1" applyProtection="1">
      <alignment horizontal="left" vertical="center" wrapText="1"/>
    </xf>
    <xf xxid="2672" numFmtId="0" fontId="3" fillId="0" borderId="10" xfId="0" applyAlignment="1" applyBorder="1" applyFont="1" applyNumberFormat="1" applyFill="1" applyProtection="1">
      <alignment horizontal="left" vertical="top" wrapText="1"/>
    </xf>
    <xf xxid="2673" numFmtId="0" fontId="3" fillId="0" borderId="0" xfId="0" applyAlignment="1" applyBorder="1" applyFont="1" applyNumberFormat="1" applyFill="1" applyProtection="1">
      <alignment horizontal="left" vertical="top" wrapText="1"/>
    </xf>
    <xf xxid="2674" numFmtId="0" fontId="3" fillId="0" borderId="12" xfId="0" applyAlignment="1" applyBorder="1" applyFont="1" applyNumberFormat="1" applyFill="1" applyProtection="1">
      <alignment horizontal="left" vertical="top" wrapText="1"/>
    </xf>
    <xf xxid="2675" numFmtId="0" fontId="3" fillId="0" borderId="19" xfId="0" applyAlignment="1" applyBorder="1" applyFont="1" applyNumberFormat="1" applyFill="1" applyProtection="1">
      <alignment horizontal="left" vertical="top" wrapText="1"/>
    </xf>
    <xf xxid="2676" numFmtId="0" fontId="3" fillId="0" borderId="8" xfId="0" applyAlignment="1" applyBorder="1" applyFont="1" applyNumberFormat="1" applyFill="1" applyProtection="1">
      <alignment horizontal="left" vertical="top" wrapText="1"/>
    </xf>
    <xf xxid="2677" numFmtId="0" fontId="3" fillId="0" borderId="20" xfId="0" applyAlignment="1" applyBorder="1" applyFont="1" applyNumberFormat="1" applyFill="1" applyProtection="1">
      <alignment horizontal="left" vertical="top" wrapText="1"/>
    </xf>
    <xf xxid="2678" numFmtId="0" fontId="20" fillId="0" borderId="9" xfId="0" applyAlignment="1" applyBorder="1" applyFont="1" applyNumberFormat="1" applyFill="1" applyProtection="1">
      <alignment horizontal="center" vertical="center"/>
    </xf>
    <xf xxid="2679" numFmtId="0" fontId="20" fillId="0" borderId="22" xfId="0" applyAlignment="1" applyBorder="1" applyFont="1" applyNumberFormat="1" applyFill="1" applyProtection="1">
      <alignment horizontal="center" vertical="center"/>
    </xf>
    <xf xxid="2680" numFmtId="0" fontId="20" fillId="0" borderId="8" xfId="0" applyAlignment="1" applyBorder="1" applyFont="1" applyNumberFormat="1" applyFill="1" applyProtection="1">
      <alignment horizontal="center" vertical="center"/>
    </xf>
    <xf xxid="2681" numFmtId="0" fontId="20" fillId="0" borderId="20" xfId="0" applyAlignment="1" applyBorder="1" applyFont="1" applyNumberFormat="1" applyFill="1" applyProtection="1">
      <alignment horizontal="center" vertical="center"/>
    </xf>
    <xf xxid="2682" numFmtId="169" fontId="17" fillId="0" borderId="23" xfId="0" applyAlignment="1" applyBorder="1" applyFont="1" applyNumberFormat="1" applyFill="1" applyProtection="1">
      <alignment horizontal="left"/>
    </xf>
    <xf xxid="2683" numFmtId="169" fontId="17" fillId="0" borderId="9" xfId="0" applyAlignment="1" applyBorder="1" applyFont="1" applyNumberFormat="1" applyFill="1" applyProtection="1">
      <alignment horizontal="left"/>
    </xf>
    <xf xxid="2684" numFmtId="169" fontId="17" fillId="0" borderId="22" xfId="0" applyAlignment="1" applyBorder="1" applyFont="1" applyNumberFormat="1" applyFill="1" applyProtection="1">
      <alignment horizontal="left"/>
    </xf>
    <xf xxid="2685" numFmtId="169" fontId="17" fillId="0" borderId="10" xfId="0" applyAlignment="1" applyBorder="1" applyFont="1" applyNumberFormat="1" applyFill="1" applyProtection="1">
      <alignment horizontal="left"/>
    </xf>
    <xf xxid="2686" numFmtId="169" fontId="17" fillId="0" borderId="0" xfId="0" applyAlignment="1" applyBorder="1" applyFont="1" applyNumberFormat="1" applyFill="1" applyProtection="1">
      <alignment horizontal="left"/>
    </xf>
    <xf xxid="2687" numFmtId="169" fontId="17" fillId="0" borderId="12" xfId="0" applyAlignment="1" applyBorder="1" applyFont="1" applyNumberFormat="1" applyFill="1" applyProtection="1">
      <alignment horizontal="left"/>
    </xf>
    <xf xxid="2688" numFmtId="0" fontId="17" fillId="0" borderId="23" xfId="0" applyAlignment="1" applyBorder="1" applyFont="1" applyNumberFormat="1" applyFill="1" applyProtection="1">
      <alignment horizontal="left" vertical="center"/>
    </xf>
    <xf xxid="2689" numFmtId="0" fontId="17" fillId="0" borderId="9" xfId="0" applyAlignment="1" applyBorder="1" applyFont="1" applyNumberFormat="1" applyFill="1" applyProtection="1">
      <alignment horizontal="left" vertical="center"/>
    </xf>
    <xf xxid="2690" numFmtId="0" fontId="17" fillId="0" borderId="22" xfId="0" applyAlignment="1" applyBorder="1" applyFont="1" applyNumberFormat="1" applyFill="1" applyProtection="1">
      <alignment horizontal="left" vertical="center"/>
    </xf>
    <xf xxid="2691" numFmtId="0" fontId="17" fillId="0" borderId="10" xfId="0" applyAlignment="1" applyBorder="1" applyFont="1" applyNumberFormat="1" applyFill="1" applyProtection="1">
      <alignment horizontal="left" vertical="center"/>
    </xf>
    <xf xxid="2692" numFmtId="0" fontId="17" fillId="0" borderId="0" xfId="0" applyAlignment="1" applyBorder="1" applyFont="1" applyNumberFormat="1" applyFill="1" applyProtection="1">
      <alignment horizontal="left" vertical="center"/>
    </xf>
    <xf xxid="2693" numFmtId="0" fontId="17" fillId="0" borderId="12" xfId="0" applyAlignment="1" applyBorder="1" applyFont="1" applyNumberFormat="1" applyFill="1" applyProtection="1">
      <alignment horizontal="left" vertical="center"/>
    </xf>
    <xf xxid="2694" numFmtId="0" fontId="17" fillId="0" borderId="19" xfId="0" applyAlignment="1" applyBorder="1" applyFont="1" applyNumberFormat="1" applyFill="1" applyProtection="1">
      <alignment horizontal="left" vertical="center"/>
    </xf>
    <xf xxid="2695" numFmtId="0" fontId="17" fillId="0" borderId="8" xfId="0" applyAlignment="1" applyBorder="1" applyFont="1" applyNumberFormat="1" applyFill="1" applyProtection="1">
      <alignment horizontal="left" vertical="center"/>
    </xf>
    <xf xxid="2696" numFmtId="0" fontId="17" fillId="0" borderId="20" xfId="0" applyAlignment="1" applyBorder="1" applyFont="1" applyNumberFormat="1" applyFill="1" applyProtection="1">
      <alignment horizontal="left" vertical="center"/>
    </xf>
    <xf xxid="2697" numFmtId="169" fontId="17" fillId="0" borderId="9" xfId="0" applyAlignment="1" applyBorder="1" applyFont="1" applyNumberFormat="1" applyFill="1" applyProtection="1">
      <alignment horizontal="center" vertical="center"/>
      <protection locked="0"/>
    </xf>
    <xf xxid="2698" numFmtId="169" fontId="3" fillId="0" borderId="23" xfId="0" applyAlignment="1" applyBorder="1" applyFont="1" applyNumberFormat="1" applyFill="1" applyProtection="1">
      <alignment horizontal="right" vertical="center"/>
    </xf>
    <xf xxid="2699" numFmtId="169" fontId="3" fillId="0" borderId="22" xfId="0" applyAlignment="1" applyBorder="1" applyFont="1" applyNumberFormat="1" applyFill="1" applyProtection="1">
      <alignment horizontal="right" vertical="center"/>
    </xf>
    <xf xxid="2700" numFmtId="169" fontId="3" fillId="0" borderId="10" xfId="0" applyAlignment="1" applyBorder="1" applyFont="1" applyNumberFormat="1" applyFill="1" applyProtection="1">
      <alignment horizontal="right" vertical="center"/>
    </xf>
    <xf xxid="2701" numFmtId="169" fontId="3" fillId="0" borderId="23" xfId="0" applyAlignment="1" applyBorder="1" applyFont="1" applyNumberFormat="1" applyFill="1" applyProtection="1">
      <alignment horizontal="center" vertical="center"/>
    </xf>
    <xf xxid="2702" numFmtId="169" fontId="3" fillId="0" borderId="22" xfId="0" applyAlignment="1" applyBorder="1" applyFont="1" applyNumberFormat="1" applyFill="1" applyProtection="1">
      <alignment horizontal="center" vertical="center"/>
    </xf>
    <xf xxid="2703" numFmtId="169" fontId="3" fillId="0" borderId="10" xfId="0" applyAlignment="1" applyBorder="1" applyFont="1" applyNumberFormat="1" applyFill="1" applyProtection="1">
      <alignment horizontal="center" vertical="center"/>
    </xf>
    <xf xxid="2704" numFmtId="169" fontId="3" fillId="0" borderId="12" xfId="0" applyAlignment="1" applyBorder="1" applyFont="1" applyNumberFormat="1" applyFill="1" applyProtection="1">
      <alignment horizontal="center" vertical="center"/>
    </xf>
    <xf xxid="2705" numFmtId="169" fontId="3" fillId="0" borderId="23" xfId="0" applyAlignment="1" applyBorder="1" applyFont="1" applyNumberFormat="1" applyFill="1" applyProtection="1">
      <alignment horizontal="left" vertical="center" wrapText="1"/>
    </xf>
    <xf xxid="2706" numFmtId="169" fontId="3" fillId="0" borderId="9" xfId="0" applyAlignment="1" applyBorder="1" applyFont="1" applyNumberFormat="1" applyFill="1" applyProtection="1">
      <alignment horizontal="left" vertical="center" wrapText="1"/>
    </xf>
    <xf xxid="2707" numFmtId="169" fontId="3" fillId="0" borderId="22" xfId="0" applyAlignment="1" applyBorder="1" applyFont="1" applyNumberFormat="1" applyFill="1" applyProtection="1">
      <alignment horizontal="left" vertical="center" wrapText="1"/>
    </xf>
    <xf xxid="2708" numFmtId="169" fontId="3" fillId="0" borderId="10" xfId="0" applyAlignment="1" applyBorder="1" applyFont="1" applyNumberFormat="1" applyFill="1" applyProtection="1">
      <alignment horizontal="left" vertical="center" wrapText="1"/>
    </xf>
    <xf xxid="2709" numFmtId="169" fontId="3" fillId="0" borderId="0" xfId="0" applyAlignment="1" applyBorder="1" applyFont="1" applyNumberFormat="1" applyFill="1" applyProtection="1">
      <alignment horizontal="left" vertical="center" wrapText="1"/>
    </xf>
    <xf xxid="2710" numFmtId="169" fontId="3" fillId="0" borderId="12" xfId="0" applyAlignment="1" applyBorder="1" applyFont="1" applyNumberFormat="1" applyFill="1" applyProtection="1">
      <alignment horizontal="left" vertical="center" wrapText="1"/>
    </xf>
    <xf xxid="2711" numFmtId="175" fontId="17" fillId="0" borderId="22" xfId="1" applyAlignment="1" applyBorder="1" applyFont="1" applyNumberFormat="1" applyFill="1" applyProtection="1">
      <alignment horizontal="right" vertical="center"/>
    </xf>
    <xf xxid="2712" numFmtId="175" fontId="17" fillId="0" borderId="12" xfId="1" applyAlignment="1" applyBorder="1" applyFont="1" applyNumberFormat="1" applyFill="1" applyProtection="1">
      <alignment horizontal="right" vertical="center"/>
    </xf>
    <xf xxid="2713" numFmtId="169" fontId="17" fillId="0" borderId="23" xfId="0" applyAlignment="1" applyBorder="1" applyFont="1" applyNumberFormat="1" applyFill="1" applyProtection="1">
      <alignment horizontal="left"/>
      <protection locked="0"/>
    </xf>
    <xf xxid="2714" numFmtId="169" fontId="17" fillId="0" borderId="10" xfId="0" applyAlignment="1" applyBorder="1" applyFont="1" applyNumberFormat="1" applyFill="1" applyProtection="1">
      <alignment horizontal="left"/>
      <protection locked="0"/>
    </xf>
    <xf xxid="2715" numFmtId="169" fontId="17" fillId="0" borderId="23" xfId="0" applyAlignment="1" applyBorder="1" applyFont="1" applyNumberFormat="1" applyFill="1" applyProtection="1">
      <alignment horizontal="left" vertical="center" wrapText="1"/>
      <protection locked="0"/>
    </xf>
    <xf xxid="2716" numFmtId="169" fontId="17" fillId="0" borderId="9" xfId="0" applyAlignment="1" applyBorder="1" applyFont="1" applyNumberFormat="1" applyFill="1" applyProtection="1">
      <alignment horizontal="left" vertical="center" wrapText="1"/>
      <protection locked="0"/>
    </xf>
    <xf xxid="2717" numFmtId="169" fontId="17" fillId="0" borderId="22" xfId="0" applyAlignment="1" applyBorder="1" applyFont="1" applyNumberFormat="1" applyFill="1" applyProtection="1">
      <alignment horizontal="left" vertical="center" wrapText="1"/>
      <protection locked="0"/>
    </xf>
    <xf xxid="2718" numFmtId="169" fontId="17" fillId="0" borderId="10" xfId="0" applyAlignment="1" applyBorder="1" applyFont="1" applyNumberFormat="1" applyFill="1" applyProtection="1">
      <alignment horizontal="left" vertical="center" wrapText="1"/>
      <protection locked="0"/>
    </xf>
    <xf xxid="2719" numFmtId="167" fontId="62" fillId="6" borderId="23" xfId="1" applyAlignment="1" applyBorder="1" applyFont="1" applyNumberFormat="1" applyFill="1" applyProtection="1">
      <alignment horizontal="center"/>
      <protection hidden="1"/>
    </xf>
    <xf xxid="2720" numFmtId="167" fontId="62" fillId="6" borderId="9" xfId="1" applyAlignment="1" applyBorder="1" applyFont="1" applyNumberFormat="1" applyFill="1" applyProtection="1">
      <alignment horizontal="center"/>
      <protection hidden="1"/>
    </xf>
    <xf xxid="2721" numFmtId="167" fontId="62" fillId="6" borderId="22" xfId="1" applyAlignment="1" applyBorder="1" applyFont="1" applyNumberFormat="1" applyFill="1" applyProtection="1">
      <alignment horizontal="center"/>
      <protection hidden="1"/>
    </xf>
    <xf xxid="2722" numFmtId="175" fontId="62" fillId="6" borderId="24" xfId="1" applyAlignment="1" applyBorder="1" applyFont="1" applyNumberFormat="1" applyFill="1" applyProtection="1">
      <alignment horizontal="center"/>
      <protection hidden="1"/>
    </xf>
    <xf xxid="2723" numFmtId="175" fontId="62" fillId="6" borderId="21" xfId="1" applyAlignment="1" applyBorder="1" applyFont="1" applyNumberFormat="1" applyFill="1" applyProtection="1">
      <alignment horizontal="center"/>
      <protection hidden="1"/>
    </xf>
    <xf xxid="2724" numFmtId="175" fontId="62" fillId="6" borderId="30" xfId="1" applyAlignment="1" applyBorder="1" applyFont="1" applyNumberFormat="1" applyFill="1" applyProtection="1">
      <alignment horizontal="center"/>
      <protection hidden="1"/>
    </xf>
    <xf xxid="2725" numFmtId="167" fontId="62" fillId="6" borderId="24" xfId="1" applyAlignment="1" applyBorder="1" applyFont="1" applyNumberFormat="1" applyFill="1" applyProtection="1">
      <alignment horizontal="center"/>
      <protection hidden="1"/>
    </xf>
    <xf xxid="2726" numFmtId="167" fontId="62" fillId="6" borderId="21" xfId="1" applyAlignment="1" applyBorder="1" applyFont="1" applyNumberFormat="1" applyFill="1" applyProtection="1">
      <alignment horizontal="center"/>
      <protection hidden="1"/>
    </xf>
    <xf xxid="2727" numFmtId="167" fontId="62" fillId="6" borderId="30" xfId="1" applyAlignment="1" applyBorder="1" applyFont="1" applyNumberFormat="1" applyFill="1" applyProtection="1">
      <alignment horizontal="center"/>
      <protection hidden="1"/>
    </xf>
    <xf xxid="2728" numFmtId="179" fontId="62" fillId="6" borderId="8" xfId="1" applyAlignment="1" applyBorder="1" applyFont="1" applyNumberFormat="1" applyFill="1" applyProtection="1">
      <alignment horizontal="center"/>
      <protection hidden="1"/>
    </xf>
    <xf xxid="2729" numFmtId="179" fontId="65" fillId="6" borderId="0" xfId="1" applyAlignment="1" applyBorder="1" applyFont="1" applyNumberFormat="1" applyFill="1" applyProtection="1">
      <alignment horizontal="center"/>
      <protection hidden="1"/>
    </xf>
    <xf xxid="2730" numFmtId="0" fontId="62" fillId="6" borderId="0" xfId="1" applyAlignment="1" applyBorder="1" applyFont="1" applyNumberFormat="1" applyFill="1" applyProtection="1">
      <alignment horizontal="right"/>
      <protection hidden="1"/>
    </xf>
    <xf xxid="2731" numFmtId="179" fontId="65" fillId="6" borderId="27" xfId="1" applyAlignment="1" applyBorder="1" applyFont="1" applyNumberFormat="1" applyFill="1" applyProtection="1">
      <alignment horizontal="center"/>
      <protection hidden="1"/>
    </xf>
    <xf xxid="2732" numFmtId="179" fontId="65" fillId="6" borderId="28" xfId="1" applyAlignment="1" applyBorder="1" applyFont="1" applyNumberFormat="1" applyFill="1" applyProtection="1">
      <alignment horizontal="center"/>
      <protection hidden="1"/>
    </xf>
    <xf xxid="2733" numFmtId="179" fontId="65" fillId="6" borderId="29" xfId="1" applyAlignment="1" applyBorder="1" applyFont="1" applyNumberFormat="1" applyFill="1" applyProtection="1">
      <alignment horizontal="center"/>
      <protection hidden="1"/>
    </xf>
    <xf xxid="2734" numFmtId="0" fontId="64" fillId="6" borderId="0" xfId="0" applyAlignment="1" applyBorder="1" applyFont="1" applyNumberFormat="1" applyFill="1" applyProtection="1">
      <alignment horizontal="left"/>
      <protection hidden="1"/>
    </xf>
    <xf xxid="2735" numFmtId="0" fontId="62" fillId="6" borderId="0" xfId="0" applyAlignment="1" applyBorder="1" applyFont="1" applyNumberFormat="1" applyFill="1" applyProtection="1">
      <alignment horizontal="left"/>
      <protection hidden="1"/>
    </xf>
    <xf xxid="2736" numFmtId="0" fontId="68" fillId="6" borderId="0" xfId="0" applyAlignment="1" applyBorder="1" applyFont="1" applyNumberFormat="1" applyFill="1" applyProtection="1">
      <alignment horizontal="left"/>
      <protection hidden="1"/>
    </xf>
    <xf xxid="2737" numFmtId="0" fontId="83" fillId="18" borderId="141" xfId="0" applyAlignment="1" applyBorder="1" applyFont="1" applyNumberFormat="1" applyFill="1" applyProtection="1">
      <alignment horizontal="center" vertical="center"/>
      <protection hidden="1"/>
    </xf>
    <xf xxid="2738" numFmtId="0" fontId="83" fillId="18" borderId="142" xfId="0" applyAlignment="1" applyBorder="1" applyFont="1" applyNumberFormat="1" applyFill="1" applyProtection="1">
      <alignment horizontal="center" vertical="center"/>
      <protection hidden="1"/>
    </xf>
    <xf xxid="2739" numFmtId="0" fontId="83" fillId="18" borderId="126" xfId="0" applyAlignment="1" applyBorder="1" applyFont="1" applyNumberFormat="1" applyFill="1" applyProtection="1">
      <alignment horizontal="center" vertical="center"/>
      <protection hidden="1"/>
    </xf>
    <xf xxid="2740" numFmtId="0" fontId="83" fillId="18" borderId="144" xfId="0" applyAlignment="1" applyBorder="1" applyFont="1" applyNumberFormat="1" applyFill="1" applyProtection="1">
      <alignment horizontal="center" vertical="center"/>
      <protection hidden="1"/>
    </xf>
    <xf xxid="2741" numFmtId="0" fontId="70" fillId="6" borderId="0" xfId="0" applyAlignment="1" applyBorder="1" applyFont="1" applyNumberFormat="1" applyFill="1" applyProtection="1">
      <alignment horizontal="left" vertical="top" wrapText="1"/>
      <protection hidden="1"/>
    </xf>
    <xf xxid="2742" numFmtId="0" fontId="84" fillId="18" borderId="61" xfId="0" applyAlignment="1" applyBorder="1" applyFont="1" applyNumberFormat="1" applyFill="1" applyProtection="1">
      <alignment horizontal="center" vertical="center"/>
      <protection hidden="1"/>
    </xf>
    <xf xxid="2743" numFmtId="0" fontId="84" fillId="18" borderId="62" xfId="0" applyAlignment="1" applyBorder="1" applyFont="1" applyNumberFormat="1" applyFill="1" applyProtection="1">
      <alignment horizontal="center" vertical="center"/>
      <protection hidden="1"/>
    </xf>
    <xf xxid="2744" numFmtId="0" fontId="62" fillId="6" borderId="63" xfId="0" applyAlignment="1" applyBorder="1" applyFont="1" applyNumberFormat="1" applyFill="1" applyProtection="1">
      <alignment horizontal="center"/>
      <protection hidden="1"/>
    </xf>
    <xf xxid="2745" numFmtId="0" fontId="62" fillId="6" borderId="76" xfId="0" applyAlignment="1" applyBorder="1" applyFont="1" applyNumberFormat="1" applyFill="1" applyProtection="1">
      <alignment horizontal="center"/>
      <protection hidden="1"/>
    </xf>
    <xf xxid="2746" numFmtId="0" fontId="62" fillId="6" borderId="63" xfId="0" applyAlignment="1" applyBorder="1" applyFont="1" applyNumberFormat="1" applyFill="1" applyProtection="1">
      <alignment horizontal="left" wrapText="1"/>
      <protection hidden="1"/>
    </xf>
    <xf xxid="2747" numFmtId="0" fontId="62" fillId="6" borderId="6" xfId="0" applyAlignment="1" applyBorder="1" applyFont="1" applyNumberFormat="1" applyFill="1" applyProtection="1">
      <alignment horizontal="left" wrapText="1"/>
      <protection hidden="1"/>
    </xf>
    <xf xxid="2748" numFmtId="169" fontId="62" fillId="6" borderId="6" xfId="19" applyAlignment="1" applyBorder="1" applyFont="1" applyNumberFormat="1" applyFill="1" applyProtection="1">
      <alignment horizontal="center"/>
      <protection hidden="1"/>
    </xf>
    <xf xxid="2749" numFmtId="169" fontId="62" fillId="6" borderId="76" xfId="19" applyAlignment="1" applyBorder="1" applyFont="1" applyNumberFormat="1" applyFill="1" applyProtection="1">
      <alignment horizontal="center"/>
      <protection hidden="1"/>
    </xf>
    <xf xxid="2750" numFmtId="0" fontId="62" fillId="6" borderId="10" xfId="0" applyAlignment="1" applyBorder="1" applyFont="1" applyNumberFormat="1" applyFill="1" applyProtection="1">
      <alignment horizontal="center"/>
      <protection hidden="1"/>
    </xf>
    <xf xxid="2751" numFmtId="0" fontId="62" fillId="6" borderId="12" xfId="0" applyAlignment="1" applyBorder="1" applyFont="1" applyNumberFormat="1" applyFill="1" applyProtection="1">
      <alignment horizontal="center"/>
      <protection hidden="1"/>
    </xf>
    <xf xxid="2752" numFmtId="0" fontId="62" fillId="6" borderId="10" xfId="0" applyAlignment="1" applyBorder="1" applyFont="1" applyNumberFormat="1" applyFill="1" applyProtection="1">
      <alignment horizontal="left" wrapText="1"/>
      <protection hidden="1"/>
    </xf>
    <xf xxid="2753" numFmtId="0" fontId="62" fillId="6" borderId="0" xfId="0" applyAlignment="1" applyBorder="1" applyFont="1" applyNumberFormat="1" applyFill="1" applyProtection="1">
      <alignment horizontal="left" wrapText="1"/>
      <protection hidden="1"/>
    </xf>
    <xf xxid="2754" numFmtId="169" fontId="62" fillId="6" borderId="0" xfId="19" applyAlignment="1" applyBorder="1" applyFont="1" applyNumberFormat="1" applyFill="1" applyProtection="1">
      <alignment horizontal="center"/>
      <protection hidden="1"/>
    </xf>
    <xf xxid="2755" numFmtId="169" fontId="62" fillId="6" borderId="12" xfId="19" applyAlignment="1" applyBorder="1" applyFont="1" applyNumberFormat="1" applyFill="1" applyProtection="1">
      <alignment horizontal="center"/>
      <protection hidden="1"/>
    </xf>
    <xf xxid="2756" numFmtId="0" fontId="62" fillId="6" borderId="19" xfId="0" applyAlignment="1" applyBorder="1" applyFont="1" applyNumberFormat="1" applyFill="1" applyProtection="1">
      <alignment horizontal="center"/>
      <protection hidden="1"/>
    </xf>
    <xf xxid="2757" numFmtId="0" fontId="62" fillId="6" borderId="20" xfId="0" applyAlignment="1" applyBorder="1" applyFont="1" applyNumberFormat="1" applyFill="1" applyProtection="1">
      <alignment horizontal="center"/>
      <protection hidden="1"/>
    </xf>
    <xf xxid="2758" numFmtId="0" fontId="62" fillId="6" borderId="19" xfId="0" applyAlignment="1" applyBorder="1" applyFont="1" applyNumberFormat="1" applyFill="1" applyProtection="1">
      <alignment horizontal="left" wrapText="1"/>
      <protection hidden="1"/>
    </xf>
    <xf xxid="2759" numFmtId="0" fontId="62" fillId="6" borderId="8" xfId="0" applyAlignment="1" applyBorder="1" applyFont="1" applyNumberFormat="1" applyFill="1" applyProtection="1">
      <alignment horizontal="left" wrapText="1"/>
      <protection hidden="1"/>
    </xf>
    <xf xxid="2760" numFmtId="169" fontId="62" fillId="6" borderId="8" xfId="19" applyAlignment="1" applyBorder="1" applyFont="1" applyNumberFormat="1" applyFill="1" applyProtection="1">
      <alignment horizontal="center"/>
      <protection hidden="1"/>
    </xf>
    <xf xxid="2761" numFmtId="169" fontId="62" fillId="6" borderId="20" xfId="19" applyAlignment="1" applyBorder="1" applyFont="1" applyNumberFormat="1" applyFill="1" applyProtection="1">
      <alignment horizontal="center"/>
      <protection hidden="1"/>
    </xf>
    <xf xxid="2762" numFmtId="0" fontId="62" fillId="6" borderId="19" xfId="16" applyAlignment="1" applyBorder="1" applyFont="1" applyNumberFormat="1" applyFill="1" applyProtection="1">
      <alignment horizontal="center" vertical="top"/>
      <protection hidden="1" locked="0"/>
    </xf>
    <xf xxid="2763" numFmtId="0" fontId="62" fillId="6" borderId="8" xfId="16" applyAlignment="1" applyBorder="1" applyFont="1" applyNumberFormat="1" applyFill="1" applyProtection="1">
      <alignment horizontal="center" vertical="top"/>
      <protection hidden="1" locked="0"/>
    </xf>
    <xf xxid="2764" numFmtId="0" fontId="62" fillId="6" borderId="20" xfId="16" applyAlignment="1" applyBorder="1" applyFont="1" applyNumberFormat="1" applyFill="1" applyProtection="1">
      <alignment horizontal="center" vertical="top"/>
      <protection hidden="1" locked="0"/>
    </xf>
    <xf xxid="2765" numFmtId="169" fontId="65" fillId="6" borderId="64" xfId="19" applyAlignment="1" applyBorder="1" applyFont="1" applyNumberFormat="1" applyFill="1" applyProtection="1">
      <alignment horizontal="right"/>
      <protection hidden="1"/>
    </xf>
    <xf xxid="2766" numFmtId="169" fontId="65" fillId="6" borderId="61" xfId="19" applyAlignment="1" applyBorder="1" applyFont="1" applyNumberFormat="1" applyFill="1" applyProtection="1">
      <alignment horizontal="right"/>
      <protection hidden="1"/>
    </xf>
    <xf xxid="2767" numFmtId="169" fontId="65" fillId="6" borderId="62" xfId="19" applyAlignment="1" applyBorder="1" applyFont="1" applyNumberFormat="1" applyFill="1" applyProtection="1">
      <alignment horizontal="right"/>
      <protection hidden="1"/>
    </xf>
    <xf xxid="2768" numFmtId="0" fontId="62" fillId="6" borderId="76" xfId="0" applyAlignment="1" applyBorder="1" applyFont="1" applyNumberFormat="1" applyFill="1" applyProtection="1">
      <alignment horizontal="left" wrapText="1"/>
      <protection hidden="1"/>
    </xf>
    <xf xxid="2769" numFmtId="169" fontId="62" fillId="6" borderId="6" xfId="19" applyAlignment="1" applyBorder="1" applyFont="1" applyNumberFormat="1" applyFill="1" applyProtection="1">
      <alignment horizontal="right"/>
      <protection hidden="1"/>
    </xf>
    <xf xxid="2770" numFmtId="169" fontId="62" fillId="6" borderId="2" xfId="19" applyAlignment="1" applyBorder="1" applyFont="1" applyNumberFormat="1" applyFill="1" applyProtection="1">
      <alignment horizontal="right"/>
      <protection hidden="1"/>
    </xf>
    <xf xxid="2771" numFmtId="0" fontId="62" fillId="6" borderId="12" xfId="0" applyAlignment="1" applyBorder="1" applyFont="1" applyNumberFormat="1" applyFill="1" applyProtection="1">
      <alignment horizontal="left" wrapText="1"/>
      <protection hidden="1"/>
    </xf>
    <xf xxid="2772" numFmtId="169" fontId="62" fillId="6" borderId="0" xfId="19" applyAlignment="1" applyBorder="1" applyFont="1" applyNumberFormat="1" applyFill="1" applyProtection="1">
      <alignment horizontal="right"/>
      <protection hidden="1"/>
    </xf>
    <xf xxid="2773" numFmtId="169" fontId="62" fillId="6" borderId="5" xfId="19" applyAlignment="1" applyBorder="1" applyFont="1" applyNumberFormat="1" applyFill="1" applyProtection="1">
      <alignment horizontal="right"/>
      <protection hidden="1"/>
    </xf>
    <xf xxid="2774" numFmtId="169" fontId="62" fillId="6" borderId="19" xfId="19" applyAlignment="1" applyBorder="1" applyFont="1" applyNumberFormat="1" applyFill="1" applyProtection="1">
      <alignment horizontal="center"/>
      <protection hidden="1" locked="0"/>
    </xf>
    <xf xxid="2775" numFmtId="169" fontId="62" fillId="6" borderId="8" xfId="19" applyAlignment="1" applyBorder="1" applyFont="1" applyNumberFormat="1" applyFill="1" applyProtection="1">
      <alignment horizontal="center"/>
      <protection hidden="1" locked="0"/>
    </xf>
    <xf xxid="2776" numFmtId="169" fontId="62" fillId="6" borderId="20" xfId="19" applyAlignment="1" applyBorder="1" applyFont="1" applyNumberFormat="1" applyFill="1" applyProtection="1">
      <alignment horizontal="center"/>
      <protection hidden="1" locked="0"/>
    </xf>
    <xf xxid="2777" numFmtId="0" fontId="62" fillId="6" borderId="20" xfId="0" applyAlignment="1" applyBorder="1" applyFont="1" applyNumberFormat="1" applyFill="1" applyProtection="1">
      <alignment horizontal="left" wrapText="1"/>
      <protection hidden="1"/>
    </xf>
    <xf xxid="2778" numFmtId="169" fontId="62" fillId="6" borderId="8" xfId="19" applyAlignment="1" applyBorder="1" applyFont="1" applyNumberFormat="1" applyFill="1" applyProtection="1">
      <alignment horizontal="right"/>
      <protection hidden="1"/>
    </xf>
    <xf xxid="2779" numFmtId="169" fontId="62" fillId="6" borderId="147" xfId="19" applyAlignment="1" applyBorder="1" applyFont="1" applyNumberFormat="1" applyFill="1" applyProtection="1">
      <alignment horizontal="right"/>
      <protection hidden="1"/>
    </xf>
    <xf xxid="2780" numFmtId="169" fontId="62" fillId="0" borderId="0" xfId="1" applyAlignment="1" applyBorder="1" applyFont="1" applyNumberFormat="1" applyFill="1" applyProtection="1">
      <alignment horizontal="center"/>
      <protection hidden="1"/>
    </xf>
    <xf xxid="2781" numFmtId="175" fontId="65" fillId="10" borderId="78" xfId="1" applyAlignment="1" applyBorder="1" applyFont="1" applyNumberFormat="1" applyFill="1" applyProtection="1">
      <alignment horizontal="center"/>
      <protection hidden="1"/>
    </xf>
    <xf xxid="2782" numFmtId="175" fontId="65" fillId="11" borderId="8" xfId="1" applyAlignment="1" applyBorder="1" applyFont="1" applyNumberFormat="1" applyFill="1" applyProtection="1">
      <alignment horizontal="center"/>
      <protection hidden="1"/>
    </xf>
    <xf xxid="2783" numFmtId="175" fontId="62" fillId="11" borderId="8" xfId="1" applyAlignment="1" applyBorder="1" applyFont="1" applyNumberFormat="1" applyFill="1" applyProtection="1">
      <alignment horizontal="center"/>
      <protection hidden="1"/>
    </xf>
    <xf xxid="2784" numFmtId="166" fontId="62" fillId="0" borderId="0" xfId="2" applyAlignment="1" applyBorder="1" applyFont="1" applyNumberFormat="1" applyFill="1" applyProtection="1">
      <alignment horizontal="center"/>
      <protection hidden="1"/>
    </xf>
    <xf xxid="2785" numFmtId="169" fontId="62" fillId="11" borderId="8" xfId="1" applyAlignment="1" applyBorder="1" applyFont="1" applyNumberFormat="1" applyFill="1" applyProtection="1">
      <alignment horizontal="center"/>
      <protection hidden="1"/>
    </xf>
    <xf xxid="2786" numFmtId="169" fontId="62" fillId="11" borderId="8" xfId="0" applyAlignment="1" applyBorder="1" applyFont="1" applyNumberFormat="1" applyFill="1" applyProtection="1">
      <alignment horizontal="center"/>
      <protection hidden="1"/>
    </xf>
    <xf xxid="2787" numFmtId="0" fontId="62" fillId="11" borderId="8" xfId="0" applyAlignment="1" applyBorder="1" applyFont="1" applyNumberFormat="1" applyFill="1" applyProtection="1">
      <alignment horizontal="center"/>
      <protection hidden="1"/>
    </xf>
    <xf xxid="2788" numFmtId="175" fontId="62" fillId="11" borderId="0" xfId="1" applyAlignment="1" applyBorder="1" applyFont="1" applyNumberFormat="1" applyFill="1" applyProtection="1">
      <alignment horizontal="center"/>
      <protection hidden="1"/>
    </xf>
    <xf xxid="2789" numFmtId="169" fontId="62" fillId="0" borderId="8" xfId="1" applyAlignment="1" applyBorder="1" applyFont="1" applyNumberFormat="1" applyFill="1" applyProtection="1">
      <alignment horizontal="center"/>
      <protection hidden="1"/>
    </xf>
    <xf xxid="2790" numFmtId="167" fontId="62" fillId="11" borderId="0" xfId="0" applyAlignment="1" applyBorder="1" applyFont="1" applyNumberFormat="1" applyFill="1" applyProtection="1">
      <alignment horizontal="center"/>
      <protection hidden="1"/>
    </xf>
    <xf xxid="2791" numFmtId="175" fontId="65" fillId="11" borderId="78" xfId="1" applyAlignment="1" applyBorder="1" applyFont="1" applyNumberFormat="1" applyFill="1" applyProtection="1">
      <alignment horizontal="center"/>
      <protection hidden="1"/>
    </xf>
    <xf xxid="2792" numFmtId="175" fontId="65" fillId="11" borderId="0" xfId="1" applyAlignment="1" applyBorder="1" applyFont="1" applyNumberFormat="1" applyFill="1" applyProtection="1">
      <alignment horizontal="center"/>
      <protection hidden="1"/>
    </xf>
    <xf xxid="2793" numFmtId="166" fontId="62" fillId="11" borderId="8" xfId="2" applyAlignment="1" applyBorder="1" applyFont="1" applyNumberFormat="1" applyFill="1" applyProtection="1">
      <alignment horizontal="center"/>
      <protection hidden="1"/>
    </xf>
    <xf xxid="2794" numFmtId="175" fontId="62" fillId="11" borderId="0" xfId="0" applyAlignment="1" applyBorder="1" applyFont="1" applyNumberFormat="1" applyFill="1" applyProtection="1">
      <alignment horizontal="center"/>
      <protection hidden="1"/>
    </xf>
    <xf xxid="2795" numFmtId="175" fontId="62" fillId="11" borderId="8" xfId="0" applyAlignment="1" applyBorder="1" applyFont="1" applyNumberFormat="1" applyFill="1" applyProtection="1">
      <alignment horizontal="center"/>
      <protection hidden="1"/>
    </xf>
    <xf xxid="2796" numFmtId="166" fontId="62" fillId="11" borderId="0" xfId="2" applyAlignment="1" applyBorder="1" applyFont="1" applyNumberFormat="1" applyFill="1" applyProtection="1">
      <alignment horizontal="center"/>
      <protection hidden="1"/>
    </xf>
    <xf xxid="2797" numFmtId="169" fontId="62" fillId="11" borderId="0" xfId="0" applyAlignment="1" applyBorder="1" applyFont="1" applyNumberFormat="1" applyFill="1" applyProtection="1">
      <alignment horizontal="center"/>
      <protection hidden="1"/>
    </xf>
    <xf xxid="2798" numFmtId="175" fontId="65" fillId="10" borderId="0" xfId="1" applyAlignment="1" applyBorder="1" applyFont="1" applyNumberFormat="1" applyFill="1" applyProtection="1">
      <alignment horizontal="center"/>
      <protection hidden="1"/>
    </xf>
    <xf xxid="2799" numFmtId="175" fontId="65" fillId="10" borderId="8" xfId="1" applyAlignment="1" applyBorder="1" applyFont="1" applyNumberFormat="1" applyFill="1" applyProtection="1">
      <alignment horizontal="center"/>
      <protection hidden="1"/>
    </xf>
    <xf xxid="2800" numFmtId="175" fontId="62" fillId="10" borderId="8" xfId="0" applyAlignment="1" applyBorder="1" applyFont="1" applyNumberFormat="1" applyFill="1" applyProtection="1">
      <alignment horizontal="center"/>
      <protection hidden="1"/>
    </xf>
    <xf xxid="2801" numFmtId="175" fontId="62" fillId="10" borderId="0" xfId="1" applyAlignment="1" applyBorder="1" applyFont="1" applyNumberFormat="1" applyFill="1" applyProtection="1">
      <alignment horizontal="center"/>
      <protection hidden="1"/>
    </xf>
    <xf xxid="2802" numFmtId="175" fontId="62" fillId="10" borderId="8" xfId="1" applyAlignment="1" applyBorder="1" applyFont="1" applyNumberFormat="1" applyFill="1" applyProtection="1">
      <alignment horizontal="center"/>
      <protection hidden="1"/>
    </xf>
    <xf xxid="2803" numFmtId="169" fontId="62" fillId="10" borderId="8" xfId="1" applyAlignment="1" applyBorder="1" applyFont="1" applyNumberFormat="1" applyFill="1" applyProtection="1">
      <alignment horizontal="center"/>
      <protection hidden="1"/>
    </xf>
    <xf xxid="2804" numFmtId="167" fontId="62" fillId="10" borderId="0" xfId="0" applyAlignment="1" applyBorder="1" applyFont="1" applyNumberFormat="1" applyFill="1" applyProtection="1">
      <alignment horizontal="center"/>
      <protection hidden="1"/>
    </xf>
    <xf xxid="2805" numFmtId="169" fontId="62" fillId="10" borderId="0" xfId="0" applyAlignment="1" applyBorder="1" applyFont="1" applyNumberFormat="1" applyFill="1" applyProtection="1">
      <alignment horizontal="center"/>
      <protection hidden="1"/>
    </xf>
    <xf xxid="2806" numFmtId="166" fontId="62" fillId="10" borderId="8" xfId="0" applyAlignment="1" applyBorder="1" applyFont="1" applyNumberFormat="1" applyFill="1" applyProtection="1">
      <alignment horizontal="center"/>
      <protection hidden="1"/>
    </xf>
    <xf xxid="2807" numFmtId="169" fontId="62" fillId="29" borderId="8" xfId="0" applyAlignment="1" applyBorder="1" applyFont="1" applyNumberFormat="1" applyFill="1" applyProtection="1">
      <alignment horizontal="center"/>
      <protection hidden="1"/>
    </xf>
    <xf xxid="2808" numFmtId="0" fontId="62" fillId="29" borderId="8" xfId="0" applyAlignment="1" applyBorder="1" applyFont="1" applyNumberFormat="1" applyFill="1" applyProtection="1">
      <alignment horizontal="center"/>
      <protection hidden="1"/>
    </xf>
    <xf xxid="2809" numFmtId="166" fontId="62" fillId="10" borderId="8" xfId="2" applyAlignment="1" applyBorder="1" applyFont="1" applyNumberFormat="1" applyFill="1" applyProtection="1">
      <alignment horizontal="center"/>
      <protection hidden="1"/>
    </xf>
    <xf xxid="2810" numFmtId="0" fontId="68" fillId="0" borderId="0" xfId="0" applyAlignment="1" applyBorder="1" applyFont="1" applyNumberFormat="1" applyFill="1" applyProtection="1">
      <alignment horizontal="center"/>
      <protection hidden="1"/>
    </xf>
    <xf xxid="2811" numFmtId="166" fontId="62" fillId="10" borderId="0" xfId="1" applyAlignment="1" applyBorder="1" applyFont="1" applyNumberFormat="1" applyFill="1" applyProtection="1">
      <alignment horizontal="center"/>
      <protection hidden="1"/>
    </xf>
    <xf xxid="2812" numFmtId="0" fontId="2" fillId="30" borderId="36" xfId="4" applyAlignment="1" applyBorder="1" applyFont="1" applyNumberFormat="1" applyFill="1" applyProtection="1">
      <alignment horizontal="center"/>
      <protection locked="0"/>
    </xf>
    <xf xxid="2813" numFmtId="0" fontId="2" fillId="30" borderId="99" xfId="4" applyAlignment="1" applyBorder="1" applyFont="1" applyNumberFormat="1" applyFill="1" applyProtection="1">
      <alignment horizontal="center"/>
      <protection locked="0"/>
    </xf>
    <xf xxid="2814" numFmtId="0" fontId="5" fillId="30" borderId="99" xfId="4" applyAlignment="1" applyBorder="1" applyFont="1" applyNumberFormat="1" applyFill="1" applyProtection="1">
      <alignment horizontal="center" vertical="center"/>
      <protection locked="0"/>
    </xf>
    <xf xxid="2815" numFmtId="0" fontId="2" fillId="30" borderId="100" xfId="4" applyAlignment="1" applyBorder="1" applyFont="1" applyNumberFormat="1" applyFill="1" applyProtection="1">
      <alignment horizontal="center"/>
      <protection locked="0"/>
    </xf>
    <xf xxid="2816" numFmtId="0" fontId="5" fillId="30" borderId="100" xfId="4" applyAlignment="1" applyBorder="1" applyFont="1" applyNumberFormat="1" applyFill="1" applyProtection="1">
      <alignment horizontal="center" vertical="center"/>
      <protection locked="0"/>
    </xf>
    <xf xxid="2817" numFmtId="0" fontId="0" fillId="0" borderId="0" xfId="0"/>
  </cellXfs>
  <cellStyles count="29">
    <cellStyle name="Comma" xfId="1" builtinId="3"/>
    <cellStyle name="Comma [0]" xfId="2" builtinId="6"/>
    <cellStyle name="Comma [0] 2" xfId="9"/>
    <cellStyle name="Comma [0] 2 2" xfId="28"/>
    <cellStyle name="Comma [0] 3" xfId="20"/>
    <cellStyle name="Comma 2" xfId="6"/>
    <cellStyle name="Comma 2 2" xfId="18"/>
    <cellStyle name="Comma 3" xfId="19"/>
    <cellStyle name="Comma 4" xfId="22"/>
    <cellStyle name="Comma 4 2" xfId="24"/>
    <cellStyle name="Hyperlink 2" xfId="10"/>
    <cellStyle name="Normal" xfId="0" builtinId="0"/>
    <cellStyle name="Normal 2" xfId="7"/>
    <cellStyle name="Normal 2 2" xfId="16"/>
    <cellStyle name="Normal 3" xfId="11"/>
    <cellStyle name="Normal 3 2" xfId="14"/>
    <cellStyle name="Normal 3 2 2" xfId="25"/>
    <cellStyle name="Normal 4" xfId="12"/>
    <cellStyle name="Normal 5" xfId="13"/>
    <cellStyle name="Normal 6" xfId="15"/>
    <cellStyle name="Normal 7" xfId="17"/>
    <cellStyle name="Normal 7 2" xfId="26"/>
    <cellStyle name="Normal 8" xfId="23"/>
    <cellStyle name="Normal 8 2" xfId="27"/>
    <cellStyle name="Normal_1770 year 2007 for Non_ US" xfId="3"/>
    <cellStyle name="Normal_CHR - 1770S- Y2005" xfId="4"/>
    <cellStyle name="Normal_CHR - 1770S- Y2005 2" xfId="8"/>
    <cellStyle name="Normal_Form 1770S - 2007" xfId="5"/>
    <cellStyle name="Percent 2" xfId="21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28" Type="http://schemas.openxmlformats.org/officeDocument/2006/relationships/externalLink" Target="/xl/externalLinks/externalLink7.xml" /><Relationship Id="rId23" Type="http://schemas.openxmlformats.org/officeDocument/2006/relationships/externalLink" Target="/xl/externalLinks/externalLink2.xml" /><Relationship Id="rId18" Type="http://schemas.openxmlformats.org/officeDocument/2006/relationships/worksheet" Target="worksheets/sheet18.xml" /><Relationship Id="rId10" Type="http://schemas.openxmlformats.org/officeDocument/2006/relationships/worksheet" Target="worksheets/sheet10.xml" /><Relationship Id="rId33" Type="http://schemas.openxmlformats.org/officeDocument/2006/relationships/externalLink" Target="/xl/externalLinks/externalLink12.xml" /><Relationship Id="rId15" Type="http://schemas.openxmlformats.org/officeDocument/2006/relationships/worksheet" Target="worksheets/sheet15.xml" /><Relationship Id="rId2" Type="http://schemas.openxmlformats.org/officeDocument/2006/relationships/worksheet" Target="worksheets/sheet2.xml" /><Relationship Id="rId42" Type="http://schemas.openxmlformats.org/officeDocument/2006/relationships/customXml" Target="../customXml/item3.xml" /><Relationship Id="rId29" Type="http://schemas.openxmlformats.org/officeDocument/2006/relationships/externalLink" Target="/xl/externalLinks/externalLink8.xml" /><Relationship Id="rId24" Type="http://schemas.openxmlformats.org/officeDocument/2006/relationships/externalLink" Target="/xl/externalLinks/externalLink3.xml" /><Relationship Id="rId19" Type="http://schemas.openxmlformats.org/officeDocument/2006/relationships/worksheet" Target="worksheets/sheet19.xml" /><Relationship Id="rId11" Type="http://schemas.openxmlformats.org/officeDocument/2006/relationships/worksheet" Target="worksheets/sheet11.xml" /><Relationship Id="rId3" Type="http://schemas.openxmlformats.org/officeDocument/2006/relationships/worksheet" Target="worksheets/sheet3.xml" /><Relationship Id="rId38" Type="http://schemas.openxmlformats.org/officeDocument/2006/relationships/sharedStrings" Target="sharedStrings.xml" /><Relationship Id="rId34" Type="http://schemas.openxmlformats.org/officeDocument/2006/relationships/externalLink" Target="/xl/externalLinks/externalLink13.xml" /><Relationship Id="rId20" Type="http://schemas.openxmlformats.org/officeDocument/2006/relationships/worksheet" Target="worksheets/sheet20.xml" /><Relationship Id="rId16" Type="http://schemas.openxmlformats.org/officeDocument/2006/relationships/worksheet" Target="worksheets/sheet16.xml" /><Relationship Id="rId7" Type="http://schemas.openxmlformats.org/officeDocument/2006/relationships/worksheet" Target="worksheets/sheet7.xml" /><Relationship Id="rId41" Type="http://schemas.openxmlformats.org/officeDocument/2006/relationships/customXml" Target="../customXml/item2.xml" /><Relationship Id="rId35" Type="http://schemas.openxmlformats.org/officeDocument/2006/relationships/externalLink" Target="/xl/externalLinks/externalLink14.xml" /><Relationship Id="rId30" Type="http://schemas.openxmlformats.org/officeDocument/2006/relationships/externalLink" Target="/xl/externalLinks/externalLink9.xml" /><Relationship Id="rId25" Type="http://schemas.openxmlformats.org/officeDocument/2006/relationships/externalLink" Target="/xl/externalLinks/externalLink4.xml" /><Relationship Id="rId12" Type="http://schemas.openxmlformats.org/officeDocument/2006/relationships/worksheet" Target="worksheets/sheet12.xml" /><Relationship Id="rId4" Type="http://schemas.openxmlformats.org/officeDocument/2006/relationships/worksheet" Target="worksheets/sheet4.xml" /><Relationship Id="rId37" Type="http://schemas.openxmlformats.org/officeDocument/2006/relationships/styles" Target="styles.xml" /><Relationship Id="rId40" Type="http://schemas.openxmlformats.org/officeDocument/2006/relationships/customXml" Target="../customXml/item1.xml" /><Relationship Id="rId31" Type="http://schemas.openxmlformats.org/officeDocument/2006/relationships/externalLink" Target="/xl/externalLinks/externalLink10.xml" /><Relationship Id="rId21" Type="http://schemas.openxmlformats.org/officeDocument/2006/relationships/worksheet" Target="worksheets/sheet21.xml" /><Relationship Id="rId13" Type="http://schemas.openxmlformats.org/officeDocument/2006/relationships/worksheet" Target="worksheets/sheet13.xml" /><Relationship Id="rId8" Type="http://schemas.openxmlformats.org/officeDocument/2006/relationships/worksheet" Target="worksheets/sheet8.xml" /><Relationship Id="rId36" Type="http://schemas.openxmlformats.org/officeDocument/2006/relationships/theme" Target="theme/theme1.xml" /><Relationship Id="rId26" Type="http://schemas.openxmlformats.org/officeDocument/2006/relationships/externalLink" Target="/xl/externalLinks/externalLink5.xml" /><Relationship Id="rId17" Type="http://schemas.openxmlformats.org/officeDocument/2006/relationships/worksheet" Target="worksheets/sheet17.xml" /><Relationship Id="rId5" Type="http://schemas.openxmlformats.org/officeDocument/2006/relationships/worksheet" Target="worksheets/sheet5.xml" /><Relationship Id="rId32" Type="http://schemas.openxmlformats.org/officeDocument/2006/relationships/externalLink" Target="/xl/externalLinks/externalLink11.xml" /><Relationship Id="rId27" Type="http://schemas.openxmlformats.org/officeDocument/2006/relationships/externalLink" Target="/xl/externalLinks/externalLink6.xml" /><Relationship Id="rId22" Type="http://schemas.openxmlformats.org/officeDocument/2006/relationships/externalLink" Target="/xl/externalLinks/externalLink1.xml" /><Relationship Id="rId14" Type="http://schemas.openxmlformats.org/officeDocument/2006/relationships/worksheet" Target="worksheets/sheet14.xml" /><Relationship Id="rId9" Type="http://schemas.openxmlformats.org/officeDocument/2006/relationships/worksheet" Target="worksheets/sheet9.xml" /><Relationship Id="rId6" Type="http://schemas.openxmlformats.org/officeDocument/2006/relationships/worksheet" Target="worksheets/sheet6.xml" /><Relationship Id="rId1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/xl/media/image2.emf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/xl/media/image2.emf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37</xdr:col>
      <xdr:colOff>0</xdr:colOff>
      <xdr:row>14</xdr:row>
      <xdr:rowOff>0</xdr:rowOff>
    </xdr:from>
    <xdr:to>
      <xdr:col>37</xdr:col>
      <xdr:colOff>0</xdr:colOff>
      <xdr:row>14</xdr:row>
      <xdr:rowOff>0</xdr:rowOff>
    </xdr:to>
    <xdr:sp>
      <xdr:nvSpPr>
        <xdr:cNvPr id="1025" name="Line 1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/>
      </xdr:nvSpPr>
      <xdr:spPr>
        <a:xfrm>
          <a:off x="15782925" y="3352800"/>
          <a:ext cx="0" cy="0"/>
        </a:xfrm>
        <a:prstGeom prst="line">
          <a:avLst/>
        </a:prstGeom>
        <a:ln w="9525">
          <a:solidFill>
            <a:srgbClr val="000000"/>
          </a:solidFill>
        </a:ln>
      </xdr:spPr>
      <xdr:txBody>
        <a:bodyPr/>
        <a:lstStyle/>
        <a:p>
          <a:pPr/>
        </a:p>
      </xdr:txBody>
    </xdr:sp>
    <xdr:clientData/>
  </xdr:twoCellAnchor>
  <xdr:twoCellAnchor editAs="twoCell">
    <xdr:from>
      <xdr:col>37</xdr:col>
      <xdr:colOff>0</xdr:colOff>
      <xdr:row>20</xdr:row>
      <xdr:rowOff>0</xdr:rowOff>
    </xdr:from>
    <xdr:to>
      <xdr:col>37</xdr:col>
      <xdr:colOff>0</xdr:colOff>
      <xdr:row>20</xdr:row>
      <xdr:rowOff>0</xdr:rowOff>
    </xdr:to>
    <xdr:sp>
      <xdr:nvSpPr>
        <xdr:cNvPr id="1026" name="Line 2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/>
      </xdr:nvSpPr>
      <xdr:spPr>
        <a:xfrm>
          <a:off x="15782925" y="5324475"/>
          <a:ext cx="0" cy="0"/>
        </a:xfrm>
        <a:prstGeom prst="line">
          <a:avLst/>
        </a:prstGeom>
        <a:ln w="9525">
          <a:solidFill>
            <a:srgbClr val="000000"/>
          </a:solidFill>
        </a:ln>
      </xdr:spPr>
      <xdr:txBody>
        <a:bodyPr/>
        <a:lstStyle/>
        <a:p>
          <a:pPr/>
        </a:p>
      </xdr:txBody>
    </xdr:sp>
    <xdr:clientData/>
  </xdr:twoCellAnchor>
  <xdr:twoCellAnchor editAs="twoCell">
    <xdr:from>
      <xdr:col>37</xdr:col>
      <xdr:colOff>0</xdr:colOff>
      <xdr:row>21</xdr:row>
      <xdr:rowOff>190165</xdr:rowOff>
    </xdr:from>
    <xdr:to>
      <xdr:col>37</xdr:col>
      <xdr:colOff>0</xdr:colOff>
      <xdr:row>21</xdr:row>
      <xdr:rowOff>190165</xdr:rowOff>
    </xdr:to>
    <xdr:sp>
      <xdr:nvSpPr>
        <xdr:cNvPr id="1027" name="Line 3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/>
      </xdr:nvSpPr>
      <xdr:spPr>
        <a:xfrm>
          <a:off x="15782925" y="5686425"/>
          <a:ext cx="0" cy="0"/>
        </a:xfrm>
        <a:prstGeom prst="line">
          <a:avLst/>
        </a:prstGeom>
        <a:ln w="9525">
          <a:solidFill>
            <a:srgbClr val="000000"/>
          </a:solidFill>
        </a:ln>
      </xdr:spPr>
      <xdr:txBody>
        <a:bodyPr/>
        <a:lstStyle/>
        <a:p>
          <a:pPr/>
        </a:p>
      </xdr:txBody>
    </xdr:sp>
    <xdr:clientData/>
  </xdr:twoCellAnchor>
  <xdr:twoCellAnchor editAs="twoCell">
    <xdr:from>
      <xdr:col>37</xdr:col>
      <xdr:colOff>0</xdr:colOff>
      <xdr:row>22</xdr:row>
      <xdr:rowOff>0</xdr:rowOff>
    </xdr:from>
    <xdr:to>
      <xdr:col>37</xdr:col>
      <xdr:colOff>0</xdr:colOff>
      <xdr:row>22</xdr:row>
      <xdr:rowOff>0</xdr:rowOff>
    </xdr:to>
    <xdr:sp>
      <xdr:nvSpPr>
        <xdr:cNvPr id="1028" name="Line 4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4040000}"/>
            </a:ext>
          </a:extLst>
        </xdr:cNvPr>
        <xdr:cNvSpPr/>
      </xdr:nvSpPr>
      <xdr:spPr>
        <a:xfrm>
          <a:off x="15782925" y="5686425"/>
          <a:ext cx="0" cy="0"/>
        </a:xfrm>
        <a:prstGeom prst="line">
          <a:avLst/>
        </a:prstGeom>
        <a:ln w="9525">
          <a:solidFill>
            <a:srgbClr val="000000"/>
          </a:solidFill>
        </a:ln>
      </xdr:spPr>
      <xdr:txBody>
        <a:bodyPr/>
        <a:lstStyle/>
        <a:p>
          <a:pPr/>
        </a:p>
      </xdr:txBody>
    </xdr:sp>
    <xdr:clientData/>
  </xdr:twoCellAnchor>
  <xdr:twoCellAnchor editAs="oneCell">
    <xdr:from>
      <xdr:col>6</xdr:col>
      <xdr:colOff>66694</xdr:colOff>
      <xdr:row>1</xdr:row>
      <xdr:rowOff>76274</xdr:rowOff>
    </xdr:from>
    <xdr:to>
      <xdr:col>13</xdr:col>
      <xdr:colOff>228544</xdr:colOff>
      <xdr:row>1</xdr:row>
      <xdr:rowOff>683419</xdr:rowOff>
    </xdr:to>
    <xdr:pic>
      <xdr:nvPicPr>
        <xdr:cNvPr id="1" name="Picture 1">
          <a:extLst xmlns:a="http://schemas.openxmlformats.org/drawingml/2006/main"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362326" y="504825"/>
          <a:ext cx="2228850" cy="606941"/>
        </a:xfrm>
        <a:prstGeom xmlns:a="http://schemas.openxmlformats.org/drawingml/2006/main"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0</xdr:colOff>
      <xdr:row>3</xdr:row>
      <xdr:rowOff>0</xdr:rowOff>
    </xdr:from>
    <xdr:to>
      <xdr:col>17</xdr:col>
      <xdr:colOff>28575</xdr:colOff>
      <xdr:row>9</xdr:row>
      <xdr:rowOff>95436</xdr:rowOff>
    </xdr:to>
    <xdr:pic>
      <xdr:nvPicPr>
        <xdr:cNvPr id="2" name="Picture 1">
          <a:extLst xmlns:a="http://schemas.openxmlformats.org/drawingml/2006/main"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495300"/>
          <a:ext cx="1047750" cy="838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twoCell">
    <xdr:from>
      <xdr:col>7</xdr:col>
      <xdr:colOff>0</xdr:colOff>
      <xdr:row>3</xdr:row>
      <xdr:rowOff>0</xdr:rowOff>
    </xdr:from>
    <xdr:to>
      <xdr:col>17</xdr:col>
      <xdr:colOff>28575</xdr:colOff>
      <xdr:row>9</xdr:row>
      <xdr:rowOff>95436</xdr:rowOff>
    </xdr:to>
    <xdr:pic>
      <xdr:nvPicPr>
        <xdr:cNvPr id="3" name="Picture 1">
          <a:extLst xmlns:a="http://schemas.openxmlformats.org/drawingml/2006/main"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950" y="495300"/>
          <a:ext cx="1047750" cy="838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twoCell">
    <xdr:from>
      <xdr:col>30</xdr:col>
      <xdr:colOff>107603</xdr:colOff>
      <xdr:row>176</xdr:row>
      <xdr:rowOff>80963</xdr:rowOff>
    </xdr:from>
    <xdr:to>
      <xdr:col>35</xdr:col>
      <xdr:colOff>295870</xdr:colOff>
      <xdr:row>183</xdr:row>
      <xdr:rowOff>152400</xdr:rowOff>
    </xdr:to>
    <xdr:sp>
      <xdr:nvSpPr>
        <xdr:cNvPr id="2" name="Rectangular Callout 1">
          <a:extLst xmlns:a="http://schemas.openxmlformats.org/drawingml/2006/main"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10605247" y="31788846"/>
          <a:ext cx="3227294" cy="1264025"/>
        </a:xfrm>
        <a:prstGeom prst="wedgeRectCallout">
          <a:avLst>
            <a:gd name="adj1" fmla="val -75832"/>
            <a:gd name="adj2" fmla="val -95789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/>
        <a:lstStyle/>
        <a:p>
          <a:pPr/>
          <a:r>
            <a:rPr lang="en-US" b="1" i="0" sz="1800">
              <a:latin typeface="Arial"/>
              <a:ea typeface="Arial"/>
              <a:cs typeface="Arial"/>
            </a:rPr>
            <a:t>You can adjust the row's height to show all of the characters. Please hide the unnecessary blank rows</a:t>
          </a:r>
        </a:p>
      </xdr:txBody>
    </xdr:sp>
    <xdr:clientData/>
  </xdr:twoCellAnchor>
  <xdr:twoCellAnchor editAs="twoCell">
    <xdr:from>
      <xdr:col>29</xdr:col>
      <xdr:colOff>385316</xdr:colOff>
      <xdr:row>193</xdr:row>
      <xdr:rowOff>304800</xdr:rowOff>
    </xdr:from>
    <xdr:to>
      <xdr:col>35</xdr:col>
      <xdr:colOff>98524</xdr:colOff>
      <xdr:row>196</xdr:row>
      <xdr:rowOff>53578</xdr:rowOff>
    </xdr:to>
    <xdr:sp>
      <xdr:nvSpPr>
        <xdr:cNvPr id="3" name="Rectangular Callout 2">
          <a:extLst xmlns:a="http://schemas.openxmlformats.org/drawingml/2006/main">
            <a:ext uri="{FF2B5EF4-FFF2-40B4-BE49-F238E27FC236}">
              <a16:creationId xmlns:a16="http://schemas.microsoft.com/office/drawing/2014/main" id="{00000000-0008-0000-0C00-000003000000}"/>
            </a:ext>
          </a:extLst>
        </xdr:cNvPr>
        <xdr:cNvSpPr/>
      </xdr:nvSpPr>
      <xdr:spPr>
        <a:xfrm>
          <a:off x="10408024" y="35087859"/>
          <a:ext cx="3227294" cy="627529"/>
        </a:xfrm>
        <a:prstGeom prst="wedgeRectCallout">
          <a:avLst>
            <a:gd name="adj1" fmla="val -69166"/>
            <a:gd name="adj2" fmla="val -54360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/>
        <a:lstStyle/>
        <a:p>
          <a:pPr/>
          <a:r>
            <a:rPr lang="en-US" b="1" i="0" sz="1800">
              <a:latin typeface="Arial"/>
              <a:ea typeface="Arial"/>
              <a:cs typeface="Arial"/>
            </a:rPr>
            <a:t>Please hide the whole table if no liabilities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twoCell">
    <xdr:from>
      <xdr:col>29</xdr:col>
      <xdr:colOff>205680</xdr:colOff>
      <xdr:row>97</xdr:row>
      <xdr:rowOff>22622</xdr:rowOff>
    </xdr:from>
    <xdr:to>
      <xdr:col>39</xdr:col>
      <xdr:colOff>114300</xdr:colOff>
      <xdr:row>103</xdr:row>
      <xdr:rowOff>98822</xdr:rowOff>
    </xdr:to>
    <xdr:sp>
      <xdr:nvSpPr>
        <xdr:cNvPr id="2" name="Rectangular Callout 1">
          <a:extLst xmlns:a="http://schemas.openxmlformats.org/drawingml/2006/main"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/>
      </xdr:nvSpPr>
      <xdr:spPr>
        <a:xfrm>
          <a:off x="10515600" y="17602200"/>
          <a:ext cx="3032760" cy="1082040"/>
        </a:xfrm>
        <a:prstGeom prst="wedgeRectCallout">
          <a:avLst>
            <a:gd name="adj1" fmla="val -51508"/>
            <a:gd name="adj2" fmla="val -9143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/>
        <a:lstStyle/>
        <a:p>
          <a:pPr/>
          <a:r>
            <a:rPr lang="en-US" b="0" i="0" sz="1600">
              <a:latin typeface="Arial"/>
              <a:ea typeface="Arial"/>
              <a:cs typeface="Arial"/>
            </a:rPr>
            <a:t>You can adjust the row's height to show all of the characters. </a:t>
          </a:r>
          <a:endParaRPr lang="en-US" b="0" i="0" sz="1600">
            <a:latin typeface="Arial"/>
            <a:ea typeface="Arial"/>
            <a:cs typeface="Arial"/>
          </a:endParaRPr>
        </a:p>
        <a:p>
          <a:pPr/>
          <a:r>
            <a:rPr lang="en-US" b="0" i="0" sz="1600">
              <a:latin typeface="Arial"/>
              <a:ea typeface="Arial"/>
              <a:cs typeface="Arial"/>
            </a:rPr>
            <a:t>Please hide the unnecessary blank rows before printing</a:t>
          </a:r>
        </a:p>
      </xdr:txBody>
    </xdr:sp>
    <xdr:clientData/>
  </xdr:twoCellAnchor>
  <xdr:twoCellAnchor editAs="twoCell">
    <xdr:from>
      <xdr:col>29</xdr:col>
      <xdr:colOff>289620</xdr:colOff>
      <xdr:row>123</xdr:row>
      <xdr:rowOff>15478</xdr:rowOff>
    </xdr:from>
    <xdr:to>
      <xdr:col>39</xdr:col>
      <xdr:colOff>198239</xdr:colOff>
      <xdr:row>127</xdr:row>
      <xdr:rowOff>167618</xdr:rowOff>
    </xdr:to>
    <xdr:sp>
      <xdr:nvSpPr>
        <xdr:cNvPr id="3" name="Rectangular Callout 2">
          <a:extLst xmlns:a="http://schemas.openxmlformats.org/drawingml/2006/main">
            <a:ext uri="{FF2B5EF4-FFF2-40B4-BE49-F238E27FC236}">
              <a16:creationId xmlns:a16="http://schemas.microsoft.com/office/drawing/2014/main" id="{00000000-0008-0000-1100-000003000000}"/>
            </a:ext>
          </a:extLst>
        </xdr:cNvPr>
        <xdr:cNvSpPr/>
      </xdr:nvSpPr>
      <xdr:spPr>
        <a:xfrm>
          <a:off x="10599420" y="22303740"/>
          <a:ext cx="3032760" cy="822960"/>
        </a:xfrm>
        <a:prstGeom prst="wedgeRectCallout">
          <a:avLst>
            <a:gd name="adj1" fmla="val -51508"/>
            <a:gd name="adj2" fmla="val -91433"/>
          </a:avLst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/>
        <a:lstStyle/>
        <a:p>
          <a:pPr/>
          <a:r>
            <a:rPr lang="en-US" b="0" i="0" sz="1600">
              <a:latin typeface="Arial"/>
              <a:ea typeface="Arial"/>
              <a:cs typeface="Arial"/>
            </a:rPr>
            <a:t>Please hide all of the table if there's no liabilities</a:t>
          </a:r>
        </a:p>
      </xdr:txBody>
    </xdr:sp>
    <xdr:clientData/>
  </xdr:twoCellAnchor>
</xdr:wsDr>
</file>

<file path=xl/externalLinks/_rels/externalLink1.xml.rels><?xml version="1.0" encoding="utf-8" standalone="yes"?><Relationships xmlns="http://schemas.openxmlformats.org/package/2006/relationships"><Relationship Id="rId1" Type="http://schemas.microsoft.com/office/2006/relationships/xlExternalLinkPath/xlPathMissing" Target="https://seaapps.deloitteresources.com/Users/iatmawijaya/AppData/Local/Microsoft/Windows/Temporary%20Internet%20Files/Content.Outlook/MFDA0TIK/draft%201770S%20software.xlsx" TargetMode="External" /></Relationships>
</file>

<file path=xl/externalLinks/_rels/externalLink2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B:\GENERAL\GES%20Procedures\Individual%20tax%20return\Tax%20Return%20Software%20and%20Tax%20Forms\1770S%20SOFTWARE.xlsx" TargetMode="External" /></Relationships>
</file>

<file path=xl/externalLinks/_rels/externalLink3.xml.rels><?xml version="1.0" encoding="utf-8" standalone="yes"?><Relationships xmlns="http://schemas.openxmlformats.org/package/2006/relationships"><Relationship Id="rId1" Type="http://schemas.microsoft.com/office/2006/relationships/xlExternalLinkPath/xlPathMissing" Target="https://seaapps.deloitteresources.com/IAS/Baker%20Hughes/Russel%20Thompson/1770%20S%202002-Russ%20Thompson.xls" TargetMode="External" /></Relationships>
</file>

<file path=xl/externalLinks/_rels/externalLink4.xml.rels><?xml version="1.0" encoding="utf-8" standalone="yes"?><Relationships xmlns="http://schemas.openxmlformats.org/package/2006/relationships"><Relationship Id="rId1" Type="http://schemas.microsoft.com/office/2006/relationships/xlExternalLinkPath/xlPathMissing" Target="https://seaapps.deloitteresources.com/Documents%20and%20Settings/Deploy/My%20Documents/Homework/Tax%20return%20forms/NON%20US%20-%20NEW%20FORM/1770%20year%202007%20for%20Non_%20US.xls" TargetMode="External" /></Relationships>
</file>

<file path=xl/externalLinks/_rels/externalLink5.xml.rels><?xml version="1.0" encoding="utf-8" standalone="yes"?><Relationships xmlns="http://schemas.openxmlformats.org/package/2006/relationships"><Relationship Id="rId1" Type="http://schemas.microsoft.com/office/2006/relationships/xlExternalLinkPath/xlPathMissing" Target="https://seaapps.deloitteresources.com/Users/iatmawijaya/Documents/Office/IAS/Tax%20Forms/1770%20Software/1770S%202013-Jap.xlsx" TargetMode="External" /></Relationships>
</file>

<file path=xl/externalLinks/_rels/externalLink6.xml.rels><?xml version="1.0" encoding="utf-8" standalone="yes"?><Relationships xmlns="http://schemas.openxmlformats.org/package/2006/relationships"><Relationship Id="rId1" Type="http://schemas.microsoft.com/office/2006/relationships/xlExternalLinkPath/xlPathMissing" Target="https://seaapps.deloitteresources.com/cdrive/form%201770/Power1770-2000%20NEW%20NPWP.xls" TargetMode="External" /></Relationships>
</file>

<file path=xl/externalLinks/_rels/externalLink7.xml.rels><?xml version="1.0" encoding="utf-8" standalone="yes"?><Relationships xmlns="http://schemas.openxmlformats.org/package/2006/relationships"><Relationship Id="rId1" Type="http://schemas.microsoft.com/office/2006/relationships/xlExternalLinkPath/xlPathMissing" Target="https://seaapps.deloitteresources.com/IAS/General/IAS%20Standard%20Document/Standard%20Forms/Power1770-2000%20with%202001%20INSTALLMENT.xls" TargetMode="External" /></Relationships>
</file>

<file path=xl/externalLinks/_rels/externalLink8.xml.rels><?xml version="1.0" encoding="utf-8" standalone="yes"?><Relationships xmlns="http://schemas.openxmlformats.org/package/2006/relationships"><Relationship Id="rId1" Type="http://schemas.microsoft.com/office/2006/relationships/xlExternalLinkPath/xlPathMissing" Target="https://seaapps.deloitteresources.com/IAS/Boehringer/GRUNWALD/1770%20S-2002%20grunwald.xls" TargetMode="External" /></Relationships>
</file>

<file path=xl/externalLinks/_rels/externalLink9.xml.rels><?xml version="1.0" encoding="utf-8" standalone="yes"?><Relationships xmlns="http://schemas.openxmlformats.org/package/2006/relationships"><Relationship Id="rId1" Type="http://schemas.microsoft.com/office/2006/relationships/xlExternalLinkPath/xlPathMissing" Target="https://seaapps.deloitteresources.com/IAS_New/IA/General/IA%20Procedures/Tax%20return%20forms/2011%20Tax%20Return/1770S%202011-Japan.xlsx" TargetMode="External" /></Relationships>
</file>

<file path=xl/externalLinks/_rels/externalLink10.xml.rels><?xml version="1.0" encoding="utf-8" standalone="yes"?><Relationships xmlns="http://schemas.openxmlformats.org/package/2006/relationships"><Relationship Id="rId1" Type="http://schemas.microsoft.com/office/2006/relationships/xlExternalLinkPath/xlPathMissing" Target="https://seaapps.deloitteresources.com/Users/bapamungkas/Documents/BPP/SPT%202014/draft%201770S%20software%20-%20Japanese.xlsx" TargetMode="External" /></Relationships>
</file>

<file path=xl/externalLinks/_rels/externalLink11.xml.rels><?xml version="1.0" encoding="utf-8" standalone="yes"?><Relationships xmlns="http://schemas.openxmlformats.org/package/2006/relationships"><Relationship Id="rId1" Type="http://schemas.microsoft.com/office/2006/relationships/xlExternalLinkPath/xlPathMissing" Target="https://seaapps.deloitteresources.com/Documents%20and%20Settings/Deploy/My%20Documents/IAS%20Works/Clients/pWc/CHR%20-%201770S-%20Y2005.xls" TargetMode="External" /></Relationships>
</file>

<file path=xl/externalLinks/_rels/externalLink12.xml.rels><?xml version="1.0" encoding="utf-8" standalone="yes"?><Relationships xmlns="http://schemas.openxmlformats.org/package/2006/relationships"><Relationship Id="rId1" Type="http://schemas.microsoft.com/office/2006/relationships/xlExternalLinkPath/xlPathMissing" Target="https://seaapps.deloitteresources.com/Power1770-2000%20NEW%20NPWP-Rusch%20actual%20rate.xls" TargetMode="External" /></Relationships>
</file>

<file path=xl/externalLinks/_rels/externalLink13.xml.rels><?xml version="1.0" encoding="utf-8" standalone="yes"?><Relationships xmlns="http://schemas.openxmlformats.org/package/2006/relationships"><Relationship Id="rId1" Type="http://schemas.openxmlformats.org/officeDocument/2006/relationships/externalLinkPath" Target="file:///A:\DOCUME~1\PUSTIK~1\LOCALS~1\Temp\POWER%201770%20S-2002%20NEW%20FORM.xls" TargetMode="External" /></Relationships>
</file>

<file path=xl/externalLinks/_rels/externalLink14.xml.rels><?xml version="1.0" encoding="utf-8" standalone="yes"?><Relationships xmlns="http://schemas.openxmlformats.org/package/2006/relationships"><Relationship Id="rId1" Type="http://schemas.microsoft.com/office/2006/relationships/xlExternalLinkPath/xlPathMissing" Target="https://seaapps.deloitteresources.com/Users/srahmaulia/Documents/Erma's%20Document/TR/Erma)1770S%20software%20-%20Japanese.xlsx" TargetMode="External" /></Relationships>
</file>

<file path=xl/externalLinks/externalLink1.xml><?xml version="1.0" encoding="utf-8"?>
<externalLink xmlns="http://schemas.openxmlformats.org/spreadsheetml/2006/main">
  <externalBook xmlns:d2p1="http://schemas.openxmlformats.org/officeDocument/2006/relationships" d2p1:id="rId1">
    <sheetNames>
      <sheetName val="GENERAL INFO"/>
      <sheetName val="JAPANESE INCOME"/>
      <sheetName val="A &amp; L INFO"/>
      <sheetName val="EXC RATES"/>
      <sheetName val="exch.rate"/>
      <sheetName val="1770S JP"/>
      <sheetName val="1770 S-1 JP"/>
      <sheetName val="1770 S-II JP"/>
      <sheetName val="1770 S-II JP (2)"/>
      <sheetName val="1721-A1 JP"/>
      <sheetName val="1721-A1 JP (2)"/>
      <sheetName val="Attachment JP"/>
      <sheetName val="1770S"/>
      <sheetName val="1770 S-1"/>
      <sheetName val="1770 S-II"/>
      <sheetName val="1770 S-II (2)"/>
      <sheetName val="LAMPIRAN."/>
      <sheetName val="CalculationSheet"/>
      <sheetName val="OVERSEAS INCOME"/>
      <sheetName val="FE-1770S"/>
      <sheetName val="FE-1770 S-1"/>
      <sheetName val="FE-1770 S-II"/>
      <sheetName val="Attachment"/>
      <sheetName val="1721A1 (1)"/>
      <sheetName val="1721A1 (2)"/>
      <sheetName val="1721A1 (3)"/>
    </sheetNames>
    <sheetDataSet>
      <sheetData sheetId="0" refreshError="1">
        <row r="18" ht="0">
          <cell r="G18">
            <v>0</v>
          </cell>
          <cell r="H18">
            <v>1</v>
          </cell>
          <cell r="J18">
            <v>2</v>
          </cell>
          <cell r="K18">
            <v>3</v>
          </cell>
          <cell r="L18">
            <v>4</v>
          </cell>
          <cell r="N18">
            <v>5</v>
          </cell>
          <cell r="O18">
            <v>6</v>
          </cell>
          <cell r="P18">
            <v>7</v>
          </cell>
          <cell r="R18">
            <v>8</v>
          </cell>
          <cell r="T18">
            <v>0</v>
          </cell>
          <cell r="U18">
            <v>5</v>
          </cell>
          <cell r="V18">
            <v>3</v>
          </cell>
          <cell r="X18">
            <v>0</v>
          </cell>
          <cell r="Y18">
            <v>0</v>
          </cell>
          <cell r="Z18">
            <v>0</v>
          </cell>
          <cell r="AD18" t="str">
            <v>01.234.567.8.053.000</v>
          </cell>
        </row>
        <row r="19" ht="0">
          <cell r="AD19" t="str">
            <v>IRENE ATMAWIJAYA                </v>
          </cell>
        </row>
        <row r="20" ht="0">
          <cell r="G20" t="str">
            <v>I</v>
          </cell>
          <cell r="H20" t="str">
            <v>R</v>
          </cell>
          <cell r="I20" t="str">
            <v>E</v>
          </cell>
          <cell r="J20" t="str">
            <v>N</v>
          </cell>
          <cell r="K20" t="str">
            <v>E</v>
          </cell>
          <cell r="M20" t="str">
            <v>A</v>
          </cell>
          <cell r="N20" t="str">
            <v>T</v>
          </cell>
          <cell r="O20" t="str">
            <v>M</v>
          </cell>
          <cell r="P20" t="str">
            <v>A</v>
          </cell>
          <cell r="Q20" t="str">
            <v>W</v>
          </cell>
          <cell r="R20" t="str">
            <v>I</v>
          </cell>
          <cell r="S20" t="str">
            <v>J</v>
          </cell>
          <cell r="T20" t="str">
            <v>A</v>
          </cell>
          <cell r="U20" t="str">
            <v>Y</v>
          </cell>
          <cell r="V20" t="str">
            <v>A</v>
          </cell>
        </row>
        <row r="21" ht="0"/>
        <row r="23" ht="0">
          <cell r="G23" t="str">
            <v>K</v>
          </cell>
          <cell r="H23" t="str">
            <v>A</v>
          </cell>
          <cell r="I23" t="str">
            <v>R</v>
          </cell>
          <cell r="J23" t="str">
            <v>Y</v>
          </cell>
          <cell r="K23" t="str">
            <v>A</v>
          </cell>
          <cell r="L23" t="str">
            <v>W</v>
          </cell>
          <cell r="M23" t="str">
            <v>A</v>
          </cell>
          <cell r="N23" t="str">
            <v>N</v>
          </cell>
        </row>
        <row r="40" ht="0">
          <cell r="F40" t="str">
            <v>2</v>
          </cell>
          <cell r="G40" t="str">
            <v>0</v>
          </cell>
          <cell r="H40" t="str">
            <v>1</v>
          </cell>
          <cell r="I40">
            <v>4</v>
          </cell>
          <cell r="AD40" t="str">
            <v>2014</v>
          </cell>
        </row>
        <row r="41" ht="0">
          <cell r="AD41">
            <v>42004</v>
          </cell>
        </row>
        <row r="68" ht="0"/>
        <row r="69" ht="0"/>
        <row r="73" ht="0">
          <cell r="F73" t="str">
            <v>UNMARRIED</v>
          </cell>
        </row>
        <row r="74" ht="0">
          <cell r="F74">
            <v>0</v>
          </cell>
        </row>
        <row r="75" ht="0">
          <cell r="F75">
            <v>24300000</v>
          </cell>
        </row>
        <row r="108" ht="0">
          <cell r="N108">
            <v>0</v>
          </cell>
          <cell r="R108">
            <v>0</v>
          </cell>
        </row>
        <row r="118" ht="0">
          <cell r="V118">
            <v>12</v>
          </cell>
        </row>
        <row r="119" ht="0">
          <cell r="G119" t="str">
            <v>dts</v>
          </cell>
        </row>
        <row r="120" ht="0">
          <cell r="G120" t="str">
            <v>01.234.566.7.888.000</v>
          </cell>
        </row>
        <row r="133" ht="0">
          <cell r="V133">
            <v>0</v>
          </cell>
        </row>
        <row r="142" ht="0">
          <cell r="V142">
            <v>994000000</v>
          </cell>
        </row>
        <row r="146" ht="0">
          <cell r="V146">
            <v>235910000</v>
          </cell>
        </row>
        <row r="166" ht="0">
          <cell r="V166">
            <v>0</v>
          </cell>
        </row>
        <row r="168" ht="0">
          <cell r="V168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21" ht="0">
          <cell r="J21">
            <v>994000000</v>
          </cell>
        </row>
        <row r="24" ht="0">
          <cell r="N24">
            <v>0</v>
          </cell>
        </row>
        <row r="25" ht="0">
          <cell r="N25">
            <v>0</v>
          </cell>
        </row>
        <row r="44" ht="0">
          <cell r="R44">
            <v>235910000</v>
          </cell>
        </row>
      </sheetData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>
  <externalBook xmlns:d2p1="http://schemas.openxmlformats.org/officeDocument/2006/relationships" d2p1:id="rId1">
    <sheetNames>
      <sheetName val="GENERAL INFO"/>
      <sheetName val="OVERSEAS INCOME"/>
      <sheetName val="A &amp; L INFO"/>
      <sheetName val="EXC RATES"/>
      <sheetName val="FE-1770S"/>
      <sheetName val="FE-1770 S-1"/>
      <sheetName val="FE-1770 S-II"/>
      <sheetName val="Attachment"/>
      <sheetName val="1721A1 (1)"/>
      <sheetName val="1721A1 (2)"/>
      <sheetName val="1721A1 (3)"/>
      <sheetName val="1770S"/>
      <sheetName val="1770 S-1"/>
      <sheetName val="1770 S-II"/>
      <sheetName val="LAMPIRAN."/>
      <sheetName val="CalculationSheet"/>
    </sheetNames>
    <sheetDataSet>
      <sheetData sheetId="0">
        <row r="18" ht="0">
          <cell r="G18" t="str">
            <v> </v>
          </cell>
          <cell r="H18" t="str">
            <v> </v>
          </cell>
          <cell r="J18" t="str">
            <v> </v>
          </cell>
          <cell r="K18" t="str">
            <v> </v>
          </cell>
          <cell r="L18" t="str">
            <v> </v>
          </cell>
          <cell r="N18" t="str">
            <v> </v>
          </cell>
          <cell r="O18" t="str">
            <v> </v>
          </cell>
          <cell r="P18" t="str">
            <v> </v>
          </cell>
          <cell r="R18" t="str">
            <v> </v>
          </cell>
          <cell r="T18" t="str">
            <v> </v>
          </cell>
          <cell r="U18" t="str">
            <v> </v>
          </cell>
          <cell r="V18" t="str">
            <v> </v>
          </cell>
          <cell r="X18" t="str">
            <v> </v>
          </cell>
          <cell r="Y18" t="str">
            <v> </v>
          </cell>
          <cell r="Z18" t="str">
            <v> </v>
          </cell>
          <cell r="AD18" t="str">
            <v>  .   .   . .   .   </v>
          </cell>
        </row>
        <row r="19" ht="0">
          <cell r="AD19" t="str">
            <v>                                </v>
          </cell>
        </row>
        <row r="20" ht="0">
          <cell r="G20" t="str">
            <v> </v>
          </cell>
          <cell r="H20" t="str">
            <v> </v>
          </cell>
          <cell r="I20" t="str">
            <v> </v>
          </cell>
          <cell r="J20" t="str">
            <v> </v>
          </cell>
          <cell r="K20" t="str">
            <v> </v>
          </cell>
          <cell r="L20" t="str">
            <v> </v>
          </cell>
          <cell r="M20" t="str">
            <v> </v>
          </cell>
          <cell r="N20" t="str">
            <v> </v>
          </cell>
          <cell r="O20" t="str">
            <v> </v>
          </cell>
          <cell r="P20" t="str">
            <v> </v>
          </cell>
          <cell r="Q20" t="str">
            <v> </v>
          </cell>
          <cell r="R20" t="str">
            <v> </v>
          </cell>
          <cell r="S20" t="str">
            <v> </v>
          </cell>
          <cell r="T20" t="str">
            <v> </v>
          </cell>
          <cell r="U20" t="str">
            <v> </v>
          </cell>
          <cell r="V20" t="str">
            <v> </v>
          </cell>
          <cell r="W20" t="str">
            <v> </v>
          </cell>
          <cell r="X20" t="str">
            <v> </v>
          </cell>
          <cell r="Y20" t="str">
            <v> </v>
          </cell>
          <cell r="Z20" t="str">
            <v> </v>
          </cell>
        </row>
        <row r="21" ht="0">
          <cell r="G21" t="str">
            <v> </v>
          </cell>
          <cell r="H21" t="str">
            <v> </v>
          </cell>
          <cell r="I21" t="str">
            <v> </v>
          </cell>
          <cell r="J21" t="str">
            <v> </v>
          </cell>
          <cell r="K21" t="str">
            <v> </v>
          </cell>
          <cell r="L21" t="str">
            <v> </v>
          </cell>
          <cell r="M21" t="str">
            <v> </v>
          </cell>
          <cell r="N21" t="str">
            <v> </v>
          </cell>
          <cell r="O21" t="str">
            <v> </v>
          </cell>
          <cell r="P21" t="str">
            <v> </v>
          </cell>
          <cell r="Q21" t="str">
            <v> </v>
          </cell>
          <cell r="R21" t="str">
            <v> </v>
          </cell>
        </row>
        <row r="23" ht="0">
          <cell r="G23" t="str">
            <v>K</v>
          </cell>
          <cell r="H23" t="str">
            <v>A</v>
          </cell>
          <cell r="I23" t="str">
            <v>R</v>
          </cell>
          <cell r="J23" t="str">
            <v>Y</v>
          </cell>
          <cell r="K23" t="str">
            <v>A</v>
          </cell>
          <cell r="L23" t="str">
            <v>W</v>
          </cell>
          <cell r="M23" t="str">
            <v>A</v>
          </cell>
          <cell r="N23" t="str">
            <v>N</v>
          </cell>
          <cell r="O23" t="str">
            <v> </v>
          </cell>
          <cell r="P23" t="str">
            <v> </v>
          </cell>
          <cell r="Q23" t="str">
            <v> </v>
          </cell>
          <cell r="R23" t="str">
            <v> </v>
          </cell>
          <cell r="S23" t="str">
            <v> </v>
          </cell>
          <cell r="T23" t="str">
            <v> </v>
          </cell>
          <cell r="U23" t="str">
            <v> </v>
          </cell>
          <cell r="V23" t="str">
            <v> </v>
          </cell>
          <cell r="W23" t="str">
            <v> </v>
          </cell>
          <cell r="X23" t="str">
            <v> </v>
          </cell>
          <cell r="Y23" t="str">
            <v> </v>
          </cell>
          <cell r="Z23" t="str">
            <v> </v>
          </cell>
        </row>
        <row r="40" ht="0">
          <cell r="F40" t="str">
            <v>2</v>
          </cell>
          <cell r="G40" t="str">
            <v>0</v>
          </cell>
          <cell r="H40" t="str">
            <v>1</v>
          </cell>
          <cell r="I40">
            <v>5</v>
          </cell>
          <cell r="AD40" t="str">
            <v>2015</v>
          </cell>
        </row>
        <row r="41" ht="0">
          <cell r="AD41">
            <v>42369</v>
          </cell>
        </row>
        <row r="68" ht="0">
          <cell r="D68" t="str">
            <v> </v>
          </cell>
        </row>
        <row r="69" ht="0">
          <cell r="D69" t="str">
            <v> </v>
          </cell>
          <cell r="E69" t="str">
            <v> </v>
          </cell>
          <cell r="G69" t="str">
            <v> </v>
          </cell>
          <cell r="H69" t="str">
            <v> </v>
          </cell>
          <cell r="I69" t="str">
            <v> </v>
          </cell>
          <cell r="K69" t="str">
            <v> </v>
          </cell>
          <cell r="L69" t="str">
            <v> </v>
          </cell>
          <cell r="M69" t="str">
            <v> </v>
          </cell>
          <cell r="O69" t="str">
            <v> </v>
          </cell>
          <cell r="Q69" t="str">
            <v> </v>
          </cell>
          <cell r="R69" t="str">
            <v> </v>
          </cell>
          <cell r="S69" t="str">
            <v> </v>
          </cell>
          <cell r="U69" t="str">
            <v> </v>
          </cell>
          <cell r="V69" t="str">
            <v> </v>
          </cell>
          <cell r="W69" t="str">
            <v> </v>
          </cell>
        </row>
        <row r="73" ht="0">
          <cell r="F73" t="str">
            <v>UNMARRIED</v>
          </cell>
        </row>
        <row r="74" ht="0">
          <cell r="F74">
            <v>0</v>
          </cell>
        </row>
        <row r="75" ht="0">
          <cell r="F75">
            <v>36000000</v>
          </cell>
        </row>
        <row r="108" ht="0">
          <cell r="N108">
            <v>0</v>
          </cell>
          <cell r="R108">
            <v>0</v>
          </cell>
        </row>
        <row r="118" ht="0">
          <cell r="V118">
            <v>12</v>
          </cell>
        </row>
        <row r="119" ht="0">
          <cell r="G119" t="str">
            <v>-</v>
          </cell>
          <cell r="L119" t="str">
            <v>-</v>
          </cell>
          <cell r="Q119" t="str">
            <v>-</v>
          </cell>
        </row>
        <row r="120" ht="0">
          <cell r="G120" t="str">
            <v>-</v>
          </cell>
          <cell r="L120" t="str">
            <v>-</v>
          </cell>
          <cell r="Q120" t="str">
            <v>-</v>
          </cell>
        </row>
        <row r="133" ht="0">
          <cell r="V133">
            <v>0</v>
          </cell>
        </row>
        <row r="142" ht="0">
          <cell r="V142">
            <v>0</v>
          </cell>
        </row>
        <row r="156" ht="0">
          <cell r="V156">
            <v>0</v>
          </cell>
        </row>
        <row r="172" ht="0">
          <cell r="V172">
            <v>0</v>
          </cell>
        </row>
        <row r="174" ht="0">
          <cell r="V174">
            <v>0</v>
          </cell>
        </row>
      </sheetData>
      <sheetData sheetId="1">
        <row r="500" ht="0">
          <cell r="Y500">
            <v>0</v>
          </cell>
          <cell r="AC500">
            <v>0</v>
          </cell>
        </row>
      </sheetData>
      <sheetData sheetId="2">
        <row r="14" ht="0">
          <cell r="J14">
            <v>0</v>
          </cell>
        </row>
        <row r="58" ht="0">
          <cell r="J58">
            <v>0</v>
          </cell>
        </row>
        <row r="258" ht="0">
          <cell r="J258">
            <v>0</v>
          </cell>
        </row>
        <row r="300" ht="0">
          <cell r="J300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>
        <row r="21" ht="0">
          <cell r="J21">
            <v>0</v>
          </cell>
        </row>
        <row r="24" ht="0">
          <cell r="N24">
            <v>0</v>
          </cell>
        </row>
        <row r="25" ht="0">
          <cell r="N25">
            <v>0</v>
          </cell>
        </row>
        <row r="44" ht="0">
          <cell r="R44">
            <v>0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>
  <externalBook xmlns:d2p1="http://schemas.openxmlformats.org/officeDocument/2006/relationships" d2p1:id="rId1">
    <sheetNames>
      <sheetName val="FE-1770 S.P1"/>
      <sheetName val="FE-1770 S.P2"/>
      <sheetName val="FE-1770 S-I"/>
      <sheetName val="FE-1770 S-II"/>
      <sheetName val="FI-177O S.P1"/>
      <sheetName val="FI-1770 S.P2"/>
      <sheetName val="FI-1770 S-I"/>
      <sheetName val="FI-1770 S-II"/>
      <sheetName val="data wp"/>
      <sheetName val="Family"/>
      <sheetName val="tax calculation"/>
      <sheetName val="PPh 25 - 2002"/>
      <sheetName val="PPh25-Installment"/>
      <sheetName val="Irregular Income"/>
      <sheetName val="Emp income"/>
      <sheetName val="overseasincome (3)"/>
      <sheetName val="overseasincome (2)"/>
      <sheetName val="overseasincome"/>
      <sheetName val="USA TaxPaidAbroad"/>
      <sheetName val="Summary of other inc"/>
      <sheetName val="dividens"/>
      <sheetName val="interest"/>
      <sheetName val="capitalgain"/>
      <sheetName val="rental"/>
      <sheetName val="Rents"/>
      <sheetName val="otherincome"/>
      <sheetName val="Indonesian inc"/>
      <sheetName val="A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externalLinks/externalLink4.xml><?xml version="1.0" encoding="utf-8"?>
<externalLink xmlns="http://schemas.openxmlformats.org/spreadsheetml/2006/main">
  <externalBook xmlns:d2p1="http://schemas.openxmlformats.org/officeDocument/2006/relationships" d2p1:id="rId1">
    <sheetNames>
      <sheetName val="GENERAL INFO"/>
      <sheetName val="OVERSEAS INCOME"/>
      <sheetName val="A &amp; L INFO"/>
      <sheetName val="TP data"/>
      <sheetName val="FE-1770.P1"/>
      <sheetName val="FE-1770.P2"/>
      <sheetName val="FE-1770-I P1"/>
      <sheetName val="FE-1770-I P2"/>
      <sheetName val="FE-1770-II"/>
      <sheetName val="FE-1770-III"/>
      <sheetName val="FE-1770-IV"/>
      <sheetName val="data wp"/>
      <sheetName val="FI-1770.P1 "/>
      <sheetName val="FI-1770.P2 "/>
      <sheetName val="FI-1770-I P1 "/>
      <sheetName val="FI-1770-I P2 "/>
      <sheetName val="FI-1770-II "/>
      <sheetName val="FI-1770-III "/>
      <sheetName val="FI-1770-IV "/>
      <sheetName val="ATTACHMENTS"/>
      <sheetName val="LAMPIRAN"/>
      <sheetName val="CALCULATION SHEET"/>
      <sheetName val="FE-1770S"/>
      <sheetName val="FE-1770 S-1"/>
      <sheetName val="FE-1770 S-II"/>
      <sheetName val="DATA IDTS"/>
      <sheetName val="1770S"/>
      <sheetName val="1770 S-1"/>
      <sheetName val="1770 S-II"/>
      <sheetName val="Attachment"/>
      <sheetName val="LAMPIRAN."/>
      <sheetName val="CalculationSheet"/>
    </sheetNames>
    <sheetDataSet>
      <sheetData sheetId="0" refreshError="1">
        <row r="103" ht="0">
          <cell r="V103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</sheetDataSet>
  </externalBook>
</externalLink>
</file>

<file path=xl/externalLinks/externalLink5.xml><?xml version="1.0" encoding="utf-8"?>
<externalLink xmlns="http://schemas.openxmlformats.org/spreadsheetml/2006/main">
  <externalBook xmlns:d2p1="http://schemas.openxmlformats.org/officeDocument/2006/relationships" d2p1:id="rId1">
    <sheetNames>
      <sheetName val="GENERAL INFO"/>
      <sheetName val="JAPANESE INCOME"/>
      <sheetName val="PPH 25 - 1ST YEAR"/>
      <sheetName val="A &amp; L INFO"/>
      <sheetName val="FOR ENVELOP"/>
      <sheetName val="TP DATA"/>
      <sheetName val="FE-1770S"/>
      <sheetName val="FE-1770 S-1"/>
      <sheetName val="FE-1770 S-II"/>
      <sheetName val="DATA IDTS"/>
      <sheetName val="1770S"/>
      <sheetName val="1770 S-1"/>
      <sheetName val="1770 S-II"/>
      <sheetName val="Attachment"/>
      <sheetName val="LAMPIRAN."/>
      <sheetName val="1721-A1(1)"/>
      <sheetName val="1721-A1(2)"/>
      <sheetName val="1721-A1(3)"/>
      <sheetName val="CalculationSheet"/>
      <sheetName val="exch.rate"/>
    </sheetNames>
    <sheetDataSet>
      <sheetData sheetId="0">
        <row r="17" ht="0"/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6.xml><?xml version="1.0" encoding="utf-8"?>
<externalLink xmlns="http://schemas.openxmlformats.org/spreadsheetml/2006/main">
  <externalBook xmlns:d2p1="http://schemas.openxmlformats.org/officeDocument/2006/relationships" d2p1:id="rId1">
    <sheetNames>
      <sheetName val="FE-1770.P1"/>
      <sheetName val="FE-1770.P2"/>
      <sheetName val="FE-1770-I"/>
      <sheetName val="FE-1770-II"/>
      <sheetName val="FE-1770-III"/>
      <sheetName val="FI-177O.P1"/>
      <sheetName val="FI-1770.P2"/>
      <sheetName val="FI-1770-I"/>
      <sheetName val="FI-1770-II"/>
      <sheetName val="FI-1770-III"/>
      <sheetName val="PPh25-Installment"/>
      <sheetName val="TaxPaidAbroad"/>
      <sheetName val="Irregular Income"/>
      <sheetName val="Family"/>
      <sheetName val="tax calculation"/>
      <sheetName val="data wp"/>
      <sheetName val="FE-1770-IV"/>
      <sheetName val="FI-1770-IV"/>
      <sheetName val="Interest"/>
      <sheetName val="Rental"/>
      <sheetName val="Summary of other inc"/>
      <sheetName val="Prepaid Tax"/>
    </sheetNames>
    <sheetDataSet>
      <sheetData sheetId="0">
        <row r="18" ht="0">
          <cell r="L18">
            <v>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5" ht="0">
          <cell r="J5">
            <v>12345678053000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externalLinks/externalLink7.xml><?xml version="1.0" encoding="utf-8"?>
<externalLink xmlns="http://schemas.openxmlformats.org/spreadsheetml/2006/main">
  <externalBook xmlns:d2p1="http://schemas.openxmlformats.org/officeDocument/2006/relationships" d2p1:id="rId1">
    <sheetNames>
      <sheetName val="FE-1770.P1"/>
      <sheetName val="FE-1770.P2"/>
      <sheetName val="FE-1770-I"/>
      <sheetName val="FE-1770-II"/>
      <sheetName val="FE-1770-III"/>
      <sheetName val="FI-177O.P1"/>
      <sheetName val="FI-1770.P2"/>
      <sheetName val="FI-1770-I"/>
      <sheetName val="FI-1770-II"/>
      <sheetName val="FI-1770-III"/>
      <sheetName val="PPh25-Installment"/>
      <sheetName val="TaxPaidAbroad"/>
      <sheetName val="Irregular Income"/>
      <sheetName val="Family"/>
      <sheetName val="tax calculation"/>
      <sheetName val="data wp"/>
    </sheetNames>
    <sheetDataSet>
      <sheetData sheetId="0"/>
      <sheetData sheetId="1"/>
      <sheetData sheetId="2">
        <row r="9" ht="0">
          <cell r="AG9">
            <v>12</v>
          </cell>
        </row>
        <row r="56" ht="0">
          <cell r="Y56">
            <v>250565998</v>
          </cell>
        </row>
        <row r="98" ht="0">
          <cell r="X98">
            <v>0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8.xml><?xml version="1.0" encoding="utf-8"?>
<externalLink xmlns="http://schemas.openxmlformats.org/spreadsheetml/2006/main">
  <externalBook xmlns:d2p1="http://schemas.openxmlformats.org/officeDocument/2006/relationships" d2p1:id="rId1">
    <sheetNames>
      <sheetName val="FE-1770 S.P1"/>
      <sheetName val="FE-1770 S.P2"/>
      <sheetName val="FE-1770 S-I"/>
      <sheetName val="FE-1770 S-II"/>
      <sheetName val="data wp"/>
      <sheetName val="FI-177O S.P1"/>
      <sheetName val="FI-1770 S.P2"/>
      <sheetName val="FI-1770 S-I"/>
      <sheetName val="FI-1770 S-II"/>
      <sheetName val="Family"/>
      <sheetName val="tax calculation"/>
      <sheetName val="PPh25-Installment"/>
      <sheetName val="Irregular Income"/>
      <sheetName val="Emp income"/>
      <sheetName val="overseasincome"/>
      <sheetName val="USA TaxPaidAbroad"/>
      <sheetName val="dividens"/>
      <sheetName val="interest"/>
      <sheetName val="capitalgain"/>
      <sheetName val="rental"/>
      <sheetName val="otherincome"/>
      <sheetName val="PPh 25 - 2002"/>
      <sheetName val="Asset Liabilities"/>
    </sheetNames>
    <sheetDataSet>
      <sheetData sheetId="0">
        <row r="24" ht="0">
          <cell r="M24" t="str">
            <v>KARET TENGSIN - TANAH ABANG</v>
          </cell>
        </row>
      </sheetData>
      <sheetData sheetId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/>
    </sheetDataSet>
  </externalBook>
</externalLink>
</file>

<file path=xl/externalLinks/externalLink9.xml><?xml version="1.0" encoding="utf-8"?>
<externalLink xmlns="http://schemas.openxmlformats.org/spreadsheetml/2006/main">
  <externalBook xmlns:d2p1="http://schemas.openxmlformats.org/officeDocument/2006/relationships" d2p1:id="rId1">
    <sheetNames>
      <sheetName val="GENERAL INFO"/>
      <sheetName val="OVERSEAS INCOME"/>
      <sheetName val="PPH 25 - 1ST YEAR"/>
      <sheetName val="A &amp; L INFO"/>
      <sheetName val="FOR ENVELOP"/>
      <sheetName val="TP DATA"/>
      <sheetName val="FE-1770S"/>
      <sheetName val="FE-1770 S-1"/>
      <sheetName val="FE-1770 S-II"/>
      <sheetName val="DATA IDTS"/>
      <sheetName val="1770S"/>
      <sheetName val="1770 S-1"/>
      <sheetName val="1770 S-II"/>
      <sheetName val="Attachment"/>
      <sheetName val="LAMPIRAN."/>
      <sheetName val="1721-A1(1)"/>
      <sheetName val="1721-A1(2)"/>
      <sheetName val="1721-A1(3)"/>
      <sheetName val="CalculationSheet"/>
      <sheetName val="exch.rate"/>
    </sheetNames>
    <sheetDataSet>
      <sheetData sheetId="0" refreshError="1"/>
      <sheetData sheetId="1" refreshError="1">
        <row r="44" ht="0">
          <cell r="H44">
            <v>0</v>
          </cell>
        </row>
        <row r="104" ht="0">
          <cell r="G104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10.xml><?xml version="1.0" encoding="utf-8"?>
<externalLink xmlns="http://schemas.openxmlformats.org/spreadsheetml/2006/main">
  <externalBook xmlns:d2p1="http://schemas.openxmlformats.org/officeDocument/2006/relationships" d2p1:id="rId1">
    <sheetNames>
      <sheetName val="GENERAL INFO"/>
      <sheetName val="JAPANESE INCOME"/>
      <sheetName val="A &amp; L INFO"/>
      <sheetName val="1770S JP"/>
      <sheetName val="1770 S-1 JP"/>
      <sheetName val="1770 S-II JP"/>
      <sheetName val="1770S"/>
      <sheetName val="1770 S-1"/>
      <sheetName val="1770 S-II"/>
      <sheetName val="Attachment JP"/>
      <sheetName val="LAMPIRAN."/>
      <sheetName val="1721-A1 JP"/>
      <sheetName val="CalculationSheet"/>
      <sheetName val="exch.rate"/>
    </sheetNames>
    <sheetDataSet>
      <sheetData sheetId="0" refreshError="1"/>
      <sheetData sheetId="1">
        <row r="23" ht="0">
          <cell r="F23">
            <v>0</v>
          </cell>
          <cell r="H23">
            <v>0</v>
          </cell>
        </row>
        <row r="67" ht="0">
          <cell r="F67">
            <v>0</v>
          </cell>
          <cell r="H67">
            <v>0</v>
          </cell>
        </row>
        <row r="103" ht="0">
          <cell r="F103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11.xml><?xml version="1.0" encoding="utf-8"?>
<externalLink xmlns="http://schemas.openxmlformats.org/spreadsheetml/2006/main">
  <externalBook xmlns:d2p1="http://schemas.openxmlformats.org/officeDocument/2006/relationships" d2p1:id="rId1">
    <sheetNames>
      <sheetName val="MANUAL"/>
      <sheetName val="GENERAL INFO"/>
      <sheetName val="OVERSEAS INCOME"/>
      <sheetName val="A &amp; L INFO"/>
      <sheetName val="TP data"/>
      <sheetName val="FE-1770 S.P1"/>
      <sheetName val="FE-1770 S.P2"/>
      <sheetName val="FE-1770S-I"/>
      <sheetName val="FE-1770S-II"/>
      <sheetName val="data wp"/>
      <sheetName val="F1770S-P1"/>
      <sheetName val="F1770S-P2"/>
      <sheetName val="F1770S-I"/>
      <sheetName val="F1770S-II"/>
      <sheetName val="ATTACHMENTS"/>
      <sheetName val="LAMPIRAN"/>
      <sheetName val="CALCULATION SHEET"/>
    </sheetNames>
    <sheetDataSet>
      <sheetData sheetId="0"/>
      <sheetData sheetId="1" refreshError="1">
        <row r="8" ht="0">
          <cell r="Q8">
            <v>1</v>
          </cell>
          <cell r="R8">
            <v>2</v>
          </cell>
          <cell r="S8">
            <v>9</v>
          </cell>
          <cell r="T8">
            <v>4</v>
          </cell>
          <cell r="U8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12.xml><?xml version="1.0" encoding="utf-8"?>
<externalLink xmlns="http://schemas.openxmlformats.org/spreadsheetml/2006/main">
  <externalBook xmlns:d2p1="http://schemas.openxmlformats.org/officeDocument/2006/relationships" d2p1:id="rId1">
    <sheetNames>
      <sheetName val="FE-1770.P1"/>
      <sheetName val="FE-1770.P2"/>
      <sheetName val="FE-1770-I"/>
      <sheetName val="FE-1770-II"/>
      <sheetName val="FE-1770-III"/>
      <sheetName val="FI-177O.P1"/>
      <sheetName val="FI-1770.P2"/>
      <sheetName val="FI-1770-I"/>
      <sheetName val="FI-1770-II"/>
      <sheetName val="FI-1770-III"/>
      <sheetName val="PPh25-Installment"/>
      <sheetName val="TaxPaidAbroad"/>
      <sheetName val="Irregular Income"/>
      <sheetName val="Family"/>
      <sheetName val="tax calculation"/>
      <sheetName val="data wp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55" ht="0">
          <cell r="G55">
            <v>212053941.2</v>
          </cell>
        </row>
      </sheetData>
      <sheetData sheetId="12"/>
      <sheetData sheetId="13"/>
      <sheetData sheetId="14"/>
      <sheetData sheetId="15"/>
    </sheetDataSet>
  </externalBook>
</externalLink>
</file>

<file path=xl/externalLinks/externalLink13.xml><?xml version="1.0" encoding="utf-8"?>
<externalLink xmlns="http://schemas.openxmlformats.org/spreadsheetml/2006/main">
  <externalBook xmlns:d2p1="http://schemas.openxmlformats.org/officeDocument/2006/relationships" d2p1:id="rId1">
    <sheetNames>
      <sheetName val="FE-1770 S.P1"/>
      <sheetName val="FE-1770 S.P2"/>
      <sheetName val="FE-1770 S-I"/>
      <sheetName val="FE-1770 S-II"/>
      <sheetName val="FI-177O S.P1"/>
      <sheetName val="FI-1770 S.P2"/>
      <sheetName val="FI-1770 S-I"/>
      <sheetName val="FI-1770 S-II"/>
      <sheetName val="data wp"/>
      <sheetName val="Family"/>
      <sheetName val="tax calculation"/>
      <sheetName val="PPh25-Installment"/>
      <sheetName val="Irregular Income"/>
      <sheetName val="Emp income"/>
      <sheetName val="overseasincome"/>
      <sheetName val="USA TaxPaidAbroad"/>
      <sheetName val="dividens"/>
      <sheetName val="interest"/>
      <sheetName val="capitalgain"/>
      <sheetName val="rental"/>
      <sheetName val="otherincome"/>
      <sheetName val="PPh 25 - 2002"/>
      <sheetName val="Asset Liabilities"/>
    </sheetNames>
    <sheetDataSet>
      <sheetData sheetId="0"/>
      <sheetData sheetId="1"/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4.xml><?xml version="1.0" encoding="utf-8"?>
<externalLink xmlns="http://schemas.openxmlformats.org/spreadsheetml/2006/main">
  <externalBook xmlns:d2p1="http://schemas.openxmlformats.org/officeDocument/2006/relationships" d2p1:id="rId1">
    <sheetNames>
      <sheetName val="GENERAL INFO"/>
      <sheetName val="JAPANESE INCOME"/>
      <sheetName val="A &amp; L INFO"/>
      <sheetName val="exch.rate"/>
      <sheetName val="1770S JP"/>
      <sheetName val="1770 S-1 JP"/>
      <sheetName val="1770 S-II JP"/>
      <sheetName val="1770 S-II JP (2)"/>
      <sheetName val="1721-A1 JP"/>
      <sheetName val="1721-A1 JP (2)"/>
      <sheetName val="Attachment JP"/>
      <sheetName val="1770S"/>
      <sheetName val="1770 S-1"/>
      <sheetName val="1770 S-II"/>
      <sheetName val="1770 S-II (2)"/>
      <sheetName val="LAMPIRAN."/>
      <sheetName val="CalculationSheet"/>
      <sheetName val="Sheet1"/>
    </sheetNames>
    <sheetDataSet>
      <sheetData sheetId="0" refreshError="1">
        <row r="10" ht="0"/>
        <row r="175" ht="0">
          <cell r="T175">
            <v>0</v>
          </cell>
        </row>
        <row r="176" ht="0">
          <cell r="T176">
            <v>0</v>
          </cell>
        </row>
        <row r="177" ht="0">
          <cell r="T177">
            <v>0</v>
          </cell>
        </row>
        <row r="181" ht="0">
          <cell r="T181">
            <v>0</v>
          </cell>
        </row>
        <row r="182" ht="0">
          <cell r="T182">
            <v>0</v>
          </cell>
        </row>
        <row r="184" ht="0">
          <cell r="T18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9.bin" 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0.bin" /></Relationships>
</file>

<file path=xl/worksheets/_rels/sheet12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2.xml" /><Relationship Id="rId1" Type="http://schemas.openxmlformats.org/officeDocument/2006/relationships/printerSettings" Target="../printerSettings/printerSettings11.bin" /></Relationships>
</file>

<file path=xl/worksheets/_rels/sheet13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3.xml" /><Relationship Id="rId1" Type="http://schemas.openxmlformats.org/officeDocument/2006/relationships/printerSettings" Target="../printerSettings/printerSettings12.bin" /></Relationships>
</file>

<file path=xl/worksheets/_rels/sheet14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4.xml" /><Relationship Id="rId1" Type="http://schemas.openxmlformats.org/officeDocument/2006/relationships/printerSettings" Target="../printerSettings/printerSettings13.bin" 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4.bin" 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5.bin" 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6.bin" 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7.bin" /></Relationships>
</file>

<file path=xl/worksheets/_rels/sheet19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5.xml" /><Relationship Id="rId1" Type="http://schemas.openxmlformats.org/officeDocument/2006/relationships/printerSettings" Target="../printerSettings/printerSettings18.bin" 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9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ff00"/>
    <pageSetUpPr fitToPage="1"/>
  </sheetPr>
  <dimension ref="A1:BC239"/>
  <sheetViews>
    <sheetView showGridLines="0" zoomScaleNormal="80" zoomScaleSheetLayoutView="100" view="pageBreakPreview" workbookViewId="0">
      <selection pane="topLeft" activeCell="C208" sqref="C208"/>
    </sheetView>
  </sheetViews>
  <sheetFormatPr defaultColWidth="8.99609375" defaultRowHeight="12.75" baseColWidth="0"/>
  <cols>
    <col min="1" max="1" width="3.99609375" style="340" customWidth="1"/>
    <col min="2" max="2" width="4.28125" style="340" customWidth="1"/>
    <col min="3" max="3" width="29.99609375" style="340" customWidth="1"/>
    <col min="4" max="5" width="2.99609375" style="340" customWidth="1"/>
    <col min="6" max="27" width="4.28125" style="340" customWidth="1"/>
    <col min="28" max="28" width="5.28125" style="340" customWidth="1"/>
    <col min="29" max="29" width="14.99609375" style="340" bestFit="1" customWidth="1"/>
    <col min="30" max="30" width="9.99609375" style="340" bestFit="1" customWidth="1"/>
    <col min="31" max="31" width="8.99609375" style="340" customWidth="1"/>
    <col min="32" max="32" width="2.99609375" style="340" customWidth="1"/>
    <col min="33" max="16384" width="8.99609375" style="340" customWidth="1"/>
  </cols>
  <sheetData>
    <row r="1" spans="1:29" ht="33" customHeight="1">
      <c r="A1" s="1622" t="s">
        <v>192</v>
      </c>
      <c r="B1" s="1622"/>
      <c r="C1" s="1622"/>
      <c r="D1" s="1622"/>
      <c r="E1" s="1622"/>
      <c r="F1" s="1622"/>
      <c r="G1" s="1622"/>
      <c r="H1" s="1622"/>
      <c r="I1" s="1622"/>
      <c r="J1" s="1622"/>
      <c r="K1" s="1622"/>
      <c r="L1" s="1622"/>
      <c r="M1" s="1622"/>
      <c r="N1" s="1622"/>
      <c r="O1" s="1622"/>
      <c r="P1" s="1622"/>
      <c r="Q1" s="1622"/>
      <c r="R1" s="1622"/>
      <c r="S1" s="1622"/>
      <c r="T1" s="1622"/>
      <c r="U1" s="1622"/>
      <c r="V1" s="1622"/>
      <c r="W1" s="1622"/>
      <c r="X1" s="1622"/>
      <c r="Y1" s="1622"/>
      <c r="Z1" s="1622"/>
      <c r="AB1" s="340"/>
      <c r="AC1" s="340" t="s">
        <v>1406</v>
      </c>
    </row>
    <row r="2" spans="1:28" ht="61.5" customHeight="1">
      <c r="A2" s="459"/>
      <c r="B2" s="459"/>
      <c r="C2" s="459"/>
      <c r="D2" s="459"/>
      <c r="E2" s="459"/>
      <c r="F2" s="459"/>
      <c r="G2" s="459"/>
      <c r="H2" s="459"/>
      <c r="I2" s="459"/>
      <c r="J2" s="459"/>
      <c r="K2" s="459"/>
      <c r="L2" s="459"/>
      <c r="M2" s="459"/>
      <c r="N2" s="459"/>
      <c r="O2" s="459"/>
      <c r="P2" s="459"/>
      <c r="Q2" s="459"/>
      <c r="R2" s="459"/>
      <c r="S2" s="459"/>
      <c r="T2" s="459"/>
      <c r="U2" s="459"/>
      <c r="V2" s="459"/>
      <c r="W2" s="459"/>
      <c r="X2" s="459"/>
      <c r="Y2" s="459"/>
      <c r="Z2" s="459"/>
      <c r="AB2" s="340"/>
    </row>
    <row r="3" spans="1:27" s="440" customFormat="1" ht="18" customHeight="1">
      <c r="A3" s="452" t="s">
        <v>449</v>
      </c>
      <c r="B3" s="453"/>
      <c r="C3" s="453"/>
      <c r="D3" s="453"/>
      <c r="E3" s="453"/>
      <c r="F3" s="453"/>
      <c r="G3" s="453"/>
      <c r="H3" s="453"/>
      <c r="I3" s="453"/>
      <c r="J3" s="453"/>
      <c r="K3" s="453"/>
      <c r="L3" s="453"/>
      <c r="M3" s="453"/>
      <c r="N3" s="453"/>
      <c r="O3" s="453"/>
      <c r="P3" s="453"/>
      <c r="Q3" s="453"/>
      <c r="R3" s="453"/>
      <c r="S3" s="453"/>
      <c r="T3" s="453"/>
      <c r="U3" s="453"/>
      <c r="V3" s="453"/>
      <c r="W3" s="453"/>
      <c r="X3" s="453"/>
      <c r="Y3" s="453"/>
      <c r="Z3" s="453"/>
      <c r="AA3" s="440"/>
    </row>
    <row r="4" spans="1:28" customHeight="1">
      <c r="A4" s="454"/>
      <c r="B4" s="455"/>
      <c r="C4" s="455"/>
      <c r="D4" s="455"/>
      <c r="E4" s="455"/>
      <c r="F4" s="455"/>
      <c r="G4" s="455"/>
      <c r="H4" s="455"/>
      <c r="I4" s="455"/>
      <c r="J4" s="455"/>
      <c r="K4" s="457"/>
      <c r="L4" s="457"/>
      <c r="M4" s="457"/>
      <c r="N4" s="457"/>
      <c r="O4" s="455"/>
      <c r="P4" s="455"/>
      <c r="Q4" s="455"/>
      <c r="R4" s="455"/>
      <c r="S4" s="455"/>
      <c r="T4" s="455"/>
      <c r="U4" s="455"/>
      <c r="V4" s="455"/>
      <c r="W4" s="455"/>
      <c r="X4" s="455"/>
      <c r="Y4" s="455"/>
      <c r="Z4" s="455"/>
      <c r="AB4" s="340"/>
    </row>
    <row r="5" spans="1:29" ht="13.5" customHeight="1" thickBot="1">
      <c r="A5" s="456">
        <v>1</v>
      </c>
      <c r="B5" s="456" t="s">
        <v>450</v>
      </c>
      <c r="C5" s="456"/>
      <c r="D5" s="456"/>
      <c r="E5" s="456"/>
      <c r="F5" s="456"/>
      <c r="G5" s="456"/>
      <c r="H5" s="456"/>
      <c r="I5" s="456"/>
      <c r="J5" s="457" t="s">
        <v>26</v>
      </c>
      <c r="K5" s="457"/>
      <c r="L5" s="457"/>
      <c r="M5" s="457"/>
      <c r="N5" s="457"/>
      <c r="O5" s="800"/>
      <c r="P5" s="800"/>
      <c r="Q5" s="800"/>
      <c r="R5" s="800"/>
      <c r="S5" s="800"/>
      <c r="T5" s="458"/>
      <c r="U5" s="458"/>
      <c r="V5" s="458"/>
      <c r="W5" s="458"/>
      <c r="X5" s="458"/>
      <c r="Y5" s="458"/>
      <c r="Z5" s="458"/>
      <c r="AA5" s="320"/>
      <c r="AB5" s="320"/>
      <c r="AC5" s="320"/>
    </row>
    <row r="6" spans="1:31" ht="13.5" customHeight="1" thickTop="1" thickBot="1">
      <c r="A6" s="456"/>
      <c r="B6" s="456" t="s">
        <v>210</v>
      </c>
      <c r="C6" s="456" t="s">
        <v>1089</v>
      </c>
      <c r="D6" s="456"/>
      <c r="E6" s="456"/>
      <c r="F6" s="456"/>
      <c r="G6" s="456"/>
      <c r="H6" s="456"/>
      <c r="I6" s="456"/>
      <c r="J6" s="457" t="s">
        <v>26</v>
      </c>
      <c r="K6" s="312" t="s">
        <v>198</v>
      </c>
      <c r="L6" s="457" t="str">
        <f>IF(K6="X","YES","NO")</f>
        <v>YES</v>
      </c>
      <c r="M6" s="455"/>
      <c r="N6" s="455"/>
      <c r="O6" s="455"/>
      <c r="P6" s="455"/>
      <c r="Q6" s="455"/>
      <c r="R6" s="455"/>
      <c r="S6" s="455"/>
      <c r="T6" s="455"/>
      <c r="U6" s="455"/>
      <c r="V6" s="455"/>
      <c r="W6" s="455"/>
      <c r="X6" s="455"/>
      <c r="Y6" s="455"/>
      <c r="Z6" s="455"/>
      <c r="AB6" s="340"/>
      <c r="AE6" s="340" t="s">
        <v>197</v>
      </c>
    </row>
    <row r="7" spans="1:28" ht="15" customHeight="1" thickTop="1">
      <c r="A7" s="456"/>
      <c r="B7" s="456"/>
      <c r="C7" s="456" t="s">
        <v>1090</v>
      </c>
      <c r="D7" s="456"/>
      <c r="E7" s="456"/>
      <c r="F7" s="456"/>
      <c r="G7" s="456"/>
      <c r="H7" s="456"/>
      <c r="I7" s="456"/>
      <c r="J7" s="456"/>
      <c r="K7" s="456"/>
      <c r="L7" s="456"/>
      <c r="M7" s="456"/>
      <c r="N7" s="456"/>
      <c r="O7" s="455"/>
      <c r="P7" s="455"/>
      <c r="Q7" s="455"/>
      <c r="R7" s="455"/>
      <c r="S7" s="455"/>
      <c r="T7" s="455"/>
      <c r="U7" s="455"/>
      <c r="V7" s="455"/>
      <c r="W7" s="455"/>
      <c r="X7" s="455"/>
      <c r="Y7" s="455"/>
      <c r="Z7" s="455"/>
      <c r="AB7" s="340"/>
    </row>
    <row r="8" spans="1:29" ht="13.5" customHeight="1" hidden="1">
      <c r="A8" s="456"/>
      <c r="B8" s="456"/>
      <c r="C8" s="456"/>
      <c r="D8" s="456"/>
      <c r="E8" s="456"/>
      <c r="F8" s="456"/>
      <c r="G8" s="456"/>
      <c r="H8" s="456"/>
      <c r="I8" s="456"/>
      <c r="J8" s="457"/>
      <c r="K8" s="811"/>
      <c r="L8" s="457"/>
      <c r="M8" s="455"/>
      <c r="N8" s="456"/>
      <c r="O8" s="800"/>
      <c r="P8" s="800"/>
      <c r="Q8" s="800"/>
      <c r="R8" s="800"/>
      <c r="S8" s="800"/>
      <c r="T8" s="458"/>
      <c r="U8" s="458"/>
      <c r="V8" s="458"/>
      <c r="W8" s="458"/>
      <c r="X8" s="458"/>
      <c r="Y8" s="458"/>
      <c r="Z8" s="458"/>
      <c r="AA8" s="320"/>
      <c r="AB8" s="320"/>
      <c r="AC8" s="320"/>
    </row>
    <row r="9" spans="1:27" s="441" customFormat="1" ht="15" customHeight="1" thickBot="1">
      <c r="A9" s="459"/>
      <c r="B9" s="459"/>
      <c r="C9" s="459"/>
      <c r="D9" s="459"/>
      <c r="E9" s="459"/>
      <c r="F9" s="460"/>
      <c r="G9" s="460"/>
      <c r="H9" s="460"/>
      <c r="I9" s="459"/>
      <c r="J9" s="459"/>
      <c r="K9" s="461"/>
      <c r="L9" s="459"/>
      <c r="M9" s="459"/>
      <c r="N9" s="459"/>
      <c r="O9" s="459"/>
      <c r="P9" s="459"/>
      <c r="Q9" s="459"/>
      <c r="R9" s="459"/>
      <c r="S9" s="459"/>
      <c r="T9" s="459"/>
      <c r="U9" s="459"/>
      <c r="V9" s="459"/>
      <c r="W9" s="459"/>
      <c r="X9" s="459"/>
      <c r="Y9" s="459"/>
      <c r="Z9" s="459"/>
      <c r="AA9" s="441"/>
    </row>
    <row r="10" spans="1:28" ht="15" customHeight="1" thickTop="1" thickBot="1">
      <c r="A10" s="456">
        <v>2</v>
      </c>
      <c r="B10" s="456" t="s">
        <v>451</v>
      </c>
      <c r="C10" s="456"/>
      <c r="D10" s="456"/>
      <c r="E10" s="456"/>
      <c r="F10" s="456"/>
      <c r="G10" s="456"/>
      <c r="H10" s="456"/>
      <c r="I10" s="456"/>
      <c r="J10" s="456" t="s">
        <v>26</v>
      </c>
      <c r="K10" s="343"/>
      <c r="L10" s="456" t="str">
        <f>IF(K10="X","YES","NO")</f>
        <v>NO</v>
      </c>
      <c r="M10" s="455"/>
      <c r="N10" s="455"/>
      <c r="O10" s="455"/>
      <c r="P10" s="455"/>
      <c r="Q10" s="455"/>
      <c r="R10" s="455"/>
      <c r="S10" s="455"/>
      <c r="T10" s="455"/>
      <c r="U10" s="455"/>
      <c r="V10" s="455"/>
      <c r="W10" s="455"/>
      <c r="X10" s="455"/>
      <c r="Y10" s="455"/>
      <c r="Z10" s="455"/>
      <c r="AB10" s="340"/>
    </row>
    <row r="11" spans="1:28" ht="15" customHeight="1" thickTop="1">
      <c r="A11" s="456"/>
      <c r="B11" s="456"/>
      <c r="C11" s="456"/>
      <c r="D11" s="456"/>
      <c r="E11" s="456"/>
      <c r="F11" s="456"/>
      <c r="G11" s="456"/>
      <c r="H11" s="456"/>
      <c r="I11" s="455"/>
      <c r="J11" s="455"/>
      <c r="K11" s="455"/>
      <c r="L11" s="455"/>
      <c r="M11" s="455"/>
      <c r="N11" s="455"/>
      <c r="O11" s="455"/>
      <c r="P11" s="455"/>
      <c r="Q11" s="455"/>
      <c r="R11" s="455"/>
      <c r="S11" s="455"/>
      <c r="T11" s="455"/>
      <c r="U11" s="455"/>
      <c r="V11" s="455"/>
      <c r="W11" s="455"/>
      <c r="X11" s="455"/>
      <c r="Y11" s="455"/>
      <c r="Z11" s="455"/>
      <c r="AB11" s="340"/>
    </row>
    <row r="12" spans="1:28" ht="18" customHeight="1">
      <c r="A12" s="452" t="s">
        <v>193</v>
      </c>
      <c r="B12" s="453"/>
      <c r="C12" s="453"/>
      <c r="D12" s="453"/>
      <c r="E12" s="453"/>
      <c r="F12" s="453"/>
      <c r="G12" s="453"/>
      <c r="H12" s="453"/>
      <c r="I12" s="453"/>
      <c r="J12" s="453"/>
      <c r="K12" s="453"/>
      <c r="L12" s="453"/>
      <c r="M12" s="453"/>
      <c r="N12" s="453"/>
      <c r="O12" s="453"/>
      <c r="P12" s="453"/>
      <c r="Q12" s="453"/>
      <c r="R12" s="453"/>
      <c r="S12" s="453"/>
      <c r="T12" s="453"/>
      <c r="U12" s="453"/>
      <c r="V12" s="453"/>
      <c r="W12" s="453"/>
      <c r="X12" s="453"/>
      <c r="Y12" s="453"/>
      <c r="Z12" s="453"/>
      <c r="AA12" s="224"/>
      <c r="AB12" s="224"/>
    </row>
    <row r="13" spans="1:28" ht="13.5" customHeight="1" thickBot="1">
      <c r="A13" s="462"/>
      <c r="B13" s="462"/>
      <c r="C13" s="462"/>
      <c r="D13" s="462"/>
      <c r="E13" s="462"/>
      <c r="F13" s="462"/>
      <c r="G13" s="462"/>
      <c r="H13" s="462"/>
      <c r="I13" s="462"/>
      <c r="J13" s="462"/>
      <c r="K13" s="462"/>
      <c r="L13" s="462"/>
      <c r="M13" s="462"/>
      <c r="N13" s="462"/>
      <c r="O13" s="462"/>
      <c r="P13" s="462"/>
      <c r="Q13" s="462"/>
      <c r="R13" s="462"/>
      <c r="S13" s="462"/>
      <c r="T13" s="462"/>
      <c r="U13" s="462"/>
      <c r="V13" s="462"/>
      <c r="W13" s="462"/>
      <c r="X13" s="462"/>
      <c r="Y13" s="462"/>
      <c r="Z13" s="462"/>
      <c r="AA13" s="225"/>
      <c r="AB13" s="225"/>
    </row>
    <row r="14" spans="1:34" ht="14.25" customHeight="1" thickTop="1" thickBot="1">
      <c r="A14" s="463">
        <v>1</v>
      </c>
      <c r="B14" s="464" t="s">
        <v>181</v>
      </c>
      <c r="C14" s="465"/>
      <c r="D14" s="466"/>
      <c r="E14" s="465"/>
      <c r="F14" s="463" t="s">
        <v>26</v>
      </c>
      <c r="G14" s="1664" t="s">
        <v>1448</v>
      </c>
      <c r="H14" s="1665"/>
      <c r="I14" s="1665"/>
      <c r="J14" s="1665"/>
      <c r="K14" s="1665"/>
      <c r="L14" s="1665"/>
      <c r="M14" s="1665"/>
      <c r="N14" s="1665"/>
      <c r="O14" s="1665"/>
      <c r="P14" s="1665"/>
      <c r="Q14" s="1665"/>
      <c r="R14" s="1665"/>
      <c r="S14" s="1665"/>
      <c r="T14" s="1665"/>
      <c r="U14" s="1665"/>
      <c r="V14" s="1666"/>
      <c r="W14" s="812"/>
      <c r="X14" s="466"/>
      <c r="Y14" s="466"/>
      <c r="Z14" s="466"/>
      <c r="AA14" s="225"/>
      <c r="AB14" s="225"/>
      <c r="AC14" s="442" t="s">
        <v>25</v>
      </c>
      <c r="AD14" s="442" t="str">
        <f>CONCATENATE(MID(npwp01,1,2),".",MID(npwp01,3,3),".",MID(npwp01,6,3),".",MID(npwp01,9,1),"-",MID(npwp01,10,3),".",MID(npwp01,13,3))</f>
        <v>...-.</v>
      </c>
      <c r="AE14" s="442"/>
      <c r="AG14" s="340" t="s">
        <v>194</v>
      </c>
      <c r="AH14" s="340">
        <f>npwp01</f>
        <v>0</v>
      </c>
    </row>
    <row r="15" spans="1:32" ht="14.25" customHeight="1" thickTop="1" thickBot="1">
      <c r="A15" s="463"/>
      <c r="B15" s="464"/>
      <c r="C15" s="465"/>
      <c r="D15" s="466"/>
      <c r="E15" s="465"/>
      <c r="F15" s="463"/>
      <c r="G15" s="466"/>
      <c r="H15" s="466"/>
      <c r="I15" s="466"/>
      <c r="J15" s="466"/>
      <c r="K15" s="466"/>
      <c r="L15" s="466"/>
      <c r="M15" s="466"/>
      <c r="N15" s="466"/>
      <c r="O15" s="466"/>
      <c r="P15" s="466"/>
      <c r="Q15" s="466"/>
      <c r="R15" s="466"/>
      <c r="S15" s="466"/>
      <c r="T15" s="466"/>
      <c r="U15" s="466"/>
      <c r="V15" s="466"/>
      <c r="W15" s="466"/>
      <c r="X15" s="466"/>
      <c r="Y15" s="466"/>
      <c r="Z15" s="466"/>
      <c r="AA15" s="225"/>
      <c r="AB15" s="225"/>
      <c r="AC15" s="442" t="s">
        <v>218</v>
      </c>
      <c r="AD15" s="1663">
        <f>name01</f>
        <v>0</v>
      </c>
      <c r="AE15" s="1663"/>
      <c r="AF15" s="1663"/>
    </row>
    <row r="16" spans="1:31" ht="14.25" customHeight="1" thickTop="1" thickBot="1">
      <c r="A16" s="463">
        <v>2</v>
      </c>
      <c r="B16" s="464" t="s">
        <v>195</v>
      </c>
      <c r="C16" s="465"/>
      <c r="D16" s="466"/>
      <c r="E16" s="465" t="s">
        <v>196</v>
      </c>
      <c r="F16" s="463" t="s">
        <v>26</v>
      </c>
      <c r="G16" s="1664" t="s">
        <v>1449</v>
      </c>
      <c r="H16" s="1665"/>
      <c r="I16" s="1665"/>
      <c r="J16" s="1665"/>
      <c r="K16" s="1665"/>
      <c r="L16" s="1665"/>
      <c r="M16" s="1665"/>
      <c r="N16" s="1665"/>
      <c r="O16" s="1665"/>
      <c r="P16" s="1665"/>
      <c r="Q16" s="1665"/>
      <c r="R16" s="1665"/>
      <c r="S16" s="1665"/>
      <c r="T16" s="1665"/>
      <c r="U16" s="1665"/>
      <c r="V16" s="1666"/>
      <c r="W16" s="812" t="s">
        <v>197</v>
      </c>
      <c r="X16" s="466" t="s">
        <v>197</v>
      </c>
      <c r="Y16" s="466" t="s">
        <v>197</v>
      </c>
      <c r="Z16" s="466" t="s">
        <v>197</v>
      </c>
      <c r="AA16" s="225"/>
      <c r="AB16" s="225"/>
      <c r="AC16" s="442"/>
      <c r="AD16" s="442"/>
      <c r="AE16" s="442"/>
    </row>
    <row r="17" spans="1:31" ht="14.25" customHeight="1" thickTop="1" thickBot="1">
      <c r="A17" s="463"/>
      <c r="B17" s="464"/>
      <c r="C17" s="465"/>
      <c r="D17" s="466"/>
      <c r="E17" s="465"/>
      <c r="F17" s="463"/>
      <c r="G17" s="463" t="s">
        <v>197</v>
      </c>
      <c r="H17" s="463" t="s">
        <v>197</v>
      </c>
      <c r="I17" s="463" t="s">
        <v>197</v>
      </c>
      <c r="J17" s="463" t="s">
        <v>197</v>
      </c>
      <c r="K17" s="463" t="s">
        <v>197</v>
      </c>
      <c r="L17" s="463" t="s">
        <v>197</v>
      </c>
      <c r="M17" s="463" t="s">
        <v>197</v>
      </c>
      <c r="N17" s="463" t="s">
        <v>197</v>
      </c>
      <c r="O17" s="463" t="s">
        <v>197</v>
      </c>
      <c r="P17" s="463" t="s">
        <v>197</v>
      </c>
      <c r="Q17" s="463" t="s">
        <v>197</v>
      </c>
      <c r="R17" s="463" t="s">
        <v>197</v>
      </c>
      <c r="S17" s="463"/>
      <c r="T17" s="470"/>
      <c r="U17" s="470"/>
      <c r="V17" s="470"/>
      <c r="W17" s="470"/>
      <c r="X17" s="470"/>
      <c r="Y17" s="470"/>
      <c r="Z17" s="470"/>
      <c r="AA17" s="225"/>
      <c r="AB17" s="225"/>
      <c r="AC17" s="442"/>
      <c r="AD17" s="442"/>
      <c r="AE17" s="442"/>
    </row>
    <row r="18" spans="1:31" ht="14.25" customHeight="1" thickTop="1" thickBot="1">
      <c r="A18" s="463">
        <v>3</v>
      </c>
      <c r="B18" s="464" t="s">
        <v>182</v>
      </c>
      <c r="C18" s="465"/>
      <c r="D18" s="465"/>
      <c r="E18" s="465"/>
      <c r="F18" s="463" t="s">
        <v>26</v>
      </c>
      <c r="G18" s="1664" t="s">
        <v>1450</v>
      </c>
      <c r="H18" s="1665"/>
      <c r="I18" s="1665"/>
      <c r="J18" s="1665"/>
      <c r="K18" s="1665"/>
      <c r="L18" s="1665"/>
      <c r="M18" s="1665"/>
      <c r="N18" s="1665"/>
      <c r="O18" s="1665"/>
      <c r="P18" s="1665"/>
      <c r="Q18" s="1665"/>
      <c r="R18" s="1665"/>
      <c r="S18" s="1665"/>
      <c r="T18" s="1665"/>
      <c r="U18" s="1665"/>
      <c r="V18" s="1666"/>
      <c r="W18" s="812" t="s">
        <v>197</v>
      </c>
      <c r="X18" s="466" t="s">
        <v>197</v>
      </c>
      <c r="Y18" s="466" t="s">
        <v>197</v>
      </c>
      <c r="Z18" s="466" t="s">
        <v>197</v>
      </c>
      <c r="AA18" s="225" t="s">
        <v>196</v>
      </c>
      <c r="AB18" s="225"/>
      <c r="AC18" s="442"/>
      <c r="AD18" s="442"/>
      <c r="AE18" s="442"/>
    </row>
    <row r="19" spans="1:31" ht="14.25" customHeight="1" thickTop="1" thickBot="1">
      <c r="A19" s="463"/>
      <c r="B19" s="464"/>
      <c r="C19" s="465"/>
      <c r="D19" s="465"/>
      <c r="E19" s="465"/>
      <c r="F19" s="463"/>
      <c r="G19" s="466"/>
      <c r="H19" s="466"/>
      <c r="I19" s="466"/>
      <c r="J19" s="466"/>
      <c r="K19" s="466"/>
      <c r="L19" s="466"/>
      <c r="M19" s="466"/>
      <c r="N19" s="466"/>
      <c r="O19" s="466"/>
      <c r="P19" s="466"/>
      <c r="Q19" s="466"/>
      <c r="R19" s="466"/>
      <c r="S19" s="466"/>
      <c r="T19" s="466"/>
      <c r="U19" s="466"/>
      <c r="V19" s="466"/>
      <c r="W19" s="466"/>
      <c r="X19" s="466"/>
      <c r="Y19" s="466"/>
      <c r="Z19" s="466"/>
      <c r="AA19" s="225"/>
      <c r="AB19" s="225"/>
      <c r="AC19" s="442"/>
      <c r="AD19" s="442"/>
      <c r="AE19" s="442"/>
    </row>
    <row r="20" spans="1:31" ht="14.25" customHeight="1" thickTop="1" thickBot="1">
      <c r="A20" s="463">
        <v>4</v>
      </c>
      <c r="B20" s="464" t="s">
        <v>257</v>
      </c>
      <c r="C20" s="465"/>
      <c r="D20" s="465"/>
      <c r="E20" s="465"/>
      <c r="F20" s="463" t="s">
        <v>26</v>
      </c>
      <c r="G20" s="1664" t="s">
        <v>833</v>
      </c>
      <c r="H20" s="1665"/>
      <c r="I20" s="1666"/>
      <c r="J20" s="466"/>
      <c r="K20" s="1664" t="s">
        <v>1451</v>
      </c>
      <c r="L20" s="1665"/>
      <c r="M20" s="1665"/>
      <c r="N20" s="1665"/>
      <c r="O20" s="1665"/>
      <c r="P20" s="1665"/>
      <c r="Q20" s="1665"/>
      <c r="R20" s="1665"/>
      <c r="S20" s="1666"/>
      <c r="T20" s="466" t="s">
        <v>197</v>
      </c>
      <c r="U20" s="466"/>
      <c r="V20" s="466"/>
      <c r="W20" s="466"/>
      <c r="X20" s="466"/>
      <c r="Y20" s="466"/>
      <c r="Z20" s="466"/>
      <c r="AA20" s="225"/>
      <c r="AB20" s="225"/>
      <c r="AC20" s="442" t="s">
        <v>257</v>
      </c>
      <c r="AD20" s="442">
        <f>phone01&amp;phone02</f>
        <v>0</v>
      </c>
      <c r="AE20" s="442"/>
    </row>
    <row r="21" spans="1:31" ht="14.25" customHeight="1" thickTop="1" thickBot="1">
      <c r="A21" s="463"/>
      <c r="B21" s="464"/>
      <c r="C21" s="465"/>
      <c r="D21" s="465"/>
      <c r="E21" s="465"/>
      <c r="F21" s="465"/>
      <c r="G21" s="466"/>
      <c r="H21" s="466"/>
      <c r="I21" s="466"/>
      <c r="J21" s="466"/>
      <c r="K21" s="466"/>
      <c r="L21" s="466"/>
      <c r="M21" s="466"/>
      <c r="N21" s="466"/>
      <c r="O21" s="466"/>
      <c r="P21" s="466"/>
      <c r="Q21" s="466"/>
      <c r="R21" s="466"/>
      <c r="S21" s="466"/>
      <c r="T21" s="466"/>
      <c r="U21" s="466"/>
      <c r="V21" s="466"/>
      <c r="W21" s="466"/>
      <c r="X21" s="466"/>
      <c r="Y21" s="466"/>
      <c r="Z21" s="466"/>
      <c r="AA21" s="225"/>
      <c r="AB21" s="225"/>
      <c r="AC21" s="442"/>
      <c r="AD21" s="442"/>
      <c r="AE21" s="442"/>
    </row>
    <row r="22" spans="1:31" ht="14.25" customHeight="1" thickTop="1" thickBot="1">
      <c r="A22" s="463">
        <v>6</v>
      </c>
      <c r="B22" s="464" t="s">
        <v>187</v>
      </c>
      <c r="C22" s="465"/>
      <c r="D22" s="465"/>
      <c r="E22" s="465"/>
      <c r="F22" s="463" t="s">
        <v>26</v>
      </c>
      <c r="G22" s="1664"/>
      <c r="H22" s="1665"/>
      <c r="I22" s="1666"/>
      <c r="J22" s="466"/>
      <c r="K22" s="1664"/>
      <c r="L22" s="1665"/>
      <c r="M22" s="1665"/>
      <c r="N22" s="1665"/>
      <c r="O22" s="1665"/>
      <c r="P22" s="1665"/>
      <c r="Q22" s="1665"/>
      <c r="R22" s="1665"/>
      <c r="S22" s="1666"/>
      <c r="T22" s="466" t="s">
        <v>197</v>
      </c>
      <c r="U22" s="466"/>
      <c r="V22" s="463"/>
      <c r="W22" s="463"/>
      <c r="X22" s="463"/>
      <c r="Y22" s="463"/>
      <c r="Z22" s="463"/>
      <c r="AA22" s="225"/>
      <c r="AB22" s="225"/>
      <c r="AC22" s="442" t="s">
        <v>187</v>
      </c>
      <c r="AD22" s="442">
        <f>faxNo01&amp;faxNo02</f>
        <v>0</v>
      </c>
      <c r="AE22" s="442"/>
    </row>
    <row r="23" spans="1:31" ht="14.25" customHeight="1" thickTop="1" thickBot="1">
      <c r="A23" s="463"/>
      <c r="B23" s="464"/>
      <c r="C23" s="465"/>
      <c r="D23" s="466"/>
      <c r="E23" s="465"/>
      <c r="F23" s="465"/>
      <c r="G23" s="465"/>
      <c r="H23" s="465"/>
      <c r="I23" s="465"/>
      <c r="J23" s="465"/>
      <c r="K23" s="465"/>
      <c r="L23" s="465"/>
      <c r="M23" s="465"/>
      <c r="N23" s="465"/>
      <c r="O23" s="465"/>
      <c r="P23" s="465"/>
      <c r="Q23" s="464"/>
      <c r="R23" s="464"/>
      <c r="S23" s="464"/>
      <c r="T23" s="464"/>
      <c r="U23" s="464"/>
      <c r="V23" s="464"/>
      <c r="W23" s="466"/>
      <c r="X23" s="464"/>
      <c r="Y23" s="464"/>
      <c r="Z23" s="464"/>
      <c r="AA23" s="225"/>
      <c r="AB23" s="225"/>
      <c r="AC23" s="442"/>
      <c r="AD23" s="442"/>
      <c r="AE23" s="442"/>
    </row>
    <row r="24" spans="1:31" ht="14.25" customHeight="1" thickTop="1" thickBot="1">
      <c r="A24" s="463">
        <v>7</v>
      </c>
      <c r="B24" s="464" t="s">
        <v>887</v>
      </c>
      <c r="C24" s="465"/>
      <c r="D24" s="466"/>
      <c r="E24" s="465"/>
      <c r="F24" s="463" t="s">
        <v>26</v>
      </c>
      <c r="G24" s="343" t="s">
        <v>875</v>
      </c>
      <c r="H24" s="465"/>
      <c r="I24" s="465"/>
      <c r="J24" s="465"/>
      <c r="K24" s="465"/>
      <c r="L24" s="465"/>
      <c r="M24" s="465"/>
      <c r="N24" s="465"/>
      <c r="O24" s="465"/>
      <c r="P24" s="465"/>
      <c r="Q24" s="464"/>
      <c r="R24" s="464"/>
      <c r="S24" s="464"/>
      <c r="T24" s="464"/>
      <c r="U24" s="464"/>
      <c r="V24" s="464"/>
      <c r="W24" s="466"/>
      <c r="X24" s="464"/>
      <c r="Y24" s="464"/>
      <c r="Z24" s="464"/>
      <c r="AA24" s="225"/>
      <c r="AB24" s="225"/>
      <c r="AC24" s="442"/>
      <c r="AD24" s="442"/>
      <c r="AE24" s="442"/>
    </row>
    <row r="25" spans="1:31" ht="14.25" customHeight="1" thickTop="1" thickBot="1">
      <c r="A25" s="463"/>
      <c r="B25" s="464"/>
      <c r="C25" s="465"/>
      <c r="D25" s="466"/>
      <c r="E25" s="465"/>
      <c r="F25" s="465"/>
      <c r="G25" s="465"/>
      <c r="H25" s="465"/>
      <c r="I25" s="465"/>
      <c r="J25" s="465"/>
      <c r="K25" s="465"/>
      <c r="L25" s="465"/>
      <c r="M25" s="465"/>
      <c r="N25" s="465"/>
      <c r="O25" s="465"/>
      <c r="P25" s="465"/>
      <c r="Q25" s="464"/>
      <c r="R25" s="464"/>
      <c r="S25" s="464"/>
      <c r="T25" s="464"/>
      <c r="U25" s="464"/>
      <c r="V25" s="464"/>
      <c r="W25" s="466"/>
      <c r="X25" s="464"/>
      <c r="Y25" s="464"/>
      <c r="Z25" s="464"/>
      <c r="AA25" s="225"/>
      <c r="AB25" s="225"/>
      <c r="AC25" s="442"/>
      <c r="AD25" s="442"/>
      <c r="AE25" s="442"/>
    </row>
    <row r="26" spans="1:31" ht="14.25" customHeight="1" thickTop="1" thickBot="1">
      <c r="A26" s="463">
        <v>8</v>
      </c>
      <c r="B26" s="469" t="s">
        <v>888</v>
      </c>
      <c r="C26" s="469"/>
      <c r="D26" s="469"/>
      <c r="E26" s="469"/>
      <c r="F26" s="463" t="s">
        <v>26</v>
      </c>
      <c r="G26" s="1664"/>
      <c r="H26" s="1665"/>
      <c r="I26" s="1665"/>
      <c r="J26" s="1665"/>
      <c r="K26" s="1665"/>
      <c r="L26" s="1665"/>
      <c r="M26" s="1665"/>
      <c r="N26" s="1665"/>
      <c r="O26" s="1665"/>
      <c r="P26" s="1665"/>
      <c r="Q26" s="1665"/>
      <c r="R26" s="1665"/>
      <c r="S26" s="1665"/>
      <c r="T26" s="1665"/>
      <c r="U26" s="1665"/>
      <c r="V26" s="1666"/>
      <c r="W26" s="812"/>
      <c r="X26" s="466" t="s">
        <v>197</v>
      </c>
      <c r="Y26" s="466" t="s">
        <v>197</v>
      </c>
      <c r="Z26" s="466" t="s">
        <v>197</v>
      </c>
      <c r="AA26" s="225"/>
      <c r="AB26" s="225"/>
      <c r="AC26" s="442"/>
      <c r="AD26" s="442"/>
      <c r="AE26" s="442"/>
    </row>
    <row r="27" spans="1:31" ht="13.5" customHeight="1" thickTop="1">
      <c r="A27" s="462"/>
      <c r="B27" s="469"/>
      <c r="C27" s="469"/>
      <c r="D27" s="469"/>
      <c r="E27" s="469"/>
      <c r="F27" s="465"/>
      <c r="G27" s="465"/>
      <c r="H27" s="464"/>
      <c r="I27" s="465"/>
      <c r="J27" s="465"/>
      <c r="K27" s="465"/>
      <c r="L27" s="465"/>
      <c r="M27" s="465"/>
      <c r="N27" s="465"/>
      <c r="O27" s="465"/>
      <c r="P27" s="465"/>
      <c r="Q27" s="462"/>
      <c r="R27" s="462"/>
      <c r="S27" s="462"/>
      <c r="T27" s="462"/>
      <c r="U27" s="462"/>
      <c r="V27" s="462"/>
      <c r="W27" s="462"/>
      <c r="X27" s="462"/>
      <c r="Y27" s="462"/>
      <c r="Z27" s="462"/>
      <c r="AA27" s="225"/>
      <c r="AB27" s="225"/>
      <c r="AC27" s="442"/>
      <c r="AD27" s="442"/>
      <c r="AE27" s="442"/>
    </row>
    <row r="28" spans="1:31" ht="13.5" customHeight="1">
      <c r="A28" s="462"/>
      <c r="B28" s="469"/>
      <c r="C28" s="469"/>
      <c r="D28" s="469"/>
      <c r="E28" s="469"/>
      <c r="F28" s="465"/>
      <c r="G28" s="465"/>
      <c r="H28" s="464"/>
      <c r="I28" s="465"/>
      <c r="J28" s="465"/>
      <c r="K28" s="465"/>
      <c r="L28" s="465"/>
      <c r="M28" s="465"/>
      <c r="N28" s="465"/>
      <c r="O28" s="465"/>
      <c r="P28" s="465"/>
      <c r="Q28" s="462"/>
      <c r="R28" s="462"/>
      <c r="S28" s="462"/>
      <c r="T28" s="462"/>
      <c r="U28" s="462"/>
      <c r="V28" s="462"/>
      <c r="W28" s="462"/>
      <c r="X28" s="462"/>
      <c r="Y28" s="462"/>
      <c r="Z28" s="462"/>
      <c r="AA28" s="225"/>
      <c r="AB28" s="225"/>
      <c r="AC28" s="442"/>
      <c r="AD28" s="442"/>
      <c r="AE28" s="442"/>
    </row>
    <row r="29" spans="1:31" ht="19.5" customHeight="1">
      <c r="A29" s="452" t="s">
        <v>199</v>
      </c>
      <c r="B29" s="453"/>
      <c r="C29" s="453"/>
      <c r="D29" s="453"/>
      <c r="E29" s="453"/>
      <c r="F29" s="453"/>
      <c r="G29" s="453"/>
      <c r="H29" s="453"/>
      <c r="I29" s="453"/>
      <c r="J29" s="453"/>
      <c r="K29" s="453" t="s">
        <v>197</v>
      </c>
      <c r="L29" s="453"/>
      <c r="M29" s="453"/>
      <c r="N29" s="453"/>
      <c r="O29" s="453"/>
      <c r="P29" s="453"/>
      <c r="Q29" s="453"/>
      <c r="R29" s="453"/>
      <c r="S29" s="453"/>
      <c r="T29" s="453"/>
      <c r="U29" s="453"/>
      <c r="V29" s="453"/>
      <c r="W29" s="453"/>
      <c r="X29" s="453"/>
      <c r="Y29" s="453"/>
      <c r="Z29" s="453"/>
      <c r="AA29" s="226"/>
      <c r="AB29" s="226"/>
      <c r="AC29" s="442"/>
      <c r="AD29" s="442"/>
      <c r="AE29" s="442"/>
    </row>
    <row r="30" spans="1:31" ht="13.5" customHeight="1" thickBot="1">
      <c r="A30" s="462"/>
      <c r="B30" s="462"/>
      <c r="C30" s="462"/>
      <c r="D30" s="462"/>
      <c r="E30" s="462"/>
      <c r="F30" s="462"/>
      <c r="G30" s="462"/>
      <c r="H30" s="462"/>
      <c r="I30" s="462"/>
      <c r="J30" s="462"/>
      <c r="K30" s="462"/>
      <c r="L30" s="462"/>
      <c r="M30" s="462"/>
      <c r="N30" s="462"/>
      <c r="O30" s="462"/>
      <c r="P30" s="462"/>
      <c r="Q30" s="462"/>
      <c r="R30" s="462"/>
      <c r="S30" s="462"/>
      <c r="T30" s="462"/>
      <c r="U30" s="462"/>
      <c r="V30" s="462"/>
      <c r="W30" s="462"/>
      <c r="X30" s="462"/>
      <c r="Y30" s="462"/>
      <c r="Z30" s="462"/>
      <c r="AA30" s="225"/>
      <c r="AB30" s="225"/>
      <c r="AC30" s="442"/>
      <c r="AD30" s="442"/>
      <c r="AE30" s="442"/>
    </row>
    <row r="31" spans="1:34" ht="14.25" customHeight="1" thickTop="1" thickBot="1">
      <c r="A31" s="463" t="s">
        <v>377</v>
      </c>
      <c r="B31" s="464" t="s">
        <v>200</v>
      </c>
      <c r="C31" s="464"/>
      <c r="D31" s="464"/>
      <c r="E31" s="464"/>
      <c r="F31" s="344" t="s">
        <v>201</v>
      </c>
      <c r="G31" s="344" t="s">
        <v>202</v>
      </c>
      <c r="H31" s="344" t="s">
        <v>1452</v>
      </c>
      <c r="I31" s="346" t="s">
        <v>1453</v>
      </c>
      <c r="J31" s="464"/>
      <c r="K31" s="464"/>
      <c r="L31" s="464"/>
      <c r="M31" s="464"/>
      <c r="N31" s="464"/>
      <c r="O31" s="464"/>
      <c r="P31" s="464"/>
      <c r="Q31" s="464"/>
      <c r="R31" s="465"/>
      <c r="S31" s="465"/>
      <c r="T31" s="466"/>
      <c r="U31" s="464"/>
      <c r="V31" s="465"/>
      <c r="W31" s="465"/>
      <c r="X31" s="465"/>
      <c r="Y31" s="465"/>
      <c r="Z31" s="465"/>
      <c r="AA31" s="225"/>
      <c r="AB31" s="225"/>
      <c r="AC31" s="442" t="s">
        <v>203</v>
      </c>
      <c r="AD31" s="442">
        <f>CONCATENATE(year01,year02,year03,year04)</f>
        <v>0</v>
      </c>
      <c r="AE31" s="442"/>
      <c r="AG31" s="443"/>
      <c r="AH31" s="443"/>
    </row>
    <row r="32" spans="1:31" ht="14.25" customHeight="1" thickTop="1" thickBot="1">
      <c r="A32" s="463"/>
      <c r="B32" s="464"/>
      <c r="C32" s="464"/>
      <c r="D32" s="464"/>
      <c r="E32" s="464"/>
      <c r="F32" s="462"/>
      <c r="G32" s="462" t="s">
        <v>197</v>
      </c>
      <c r="H32" s="462"/>
      <c r="I32" s="462"/>
      <c r="J32" s="464"/>
      <c r="K32" s="464"/>
      <c r="L32" s="464"/>
      <c r="M32" s="464"/>
      <c r="N32" s="464"/>
      <c r="O32" s="464"/>
      <c r="P32" s="464"/>
      <c r="Q32" s="473"/>
      <c r="R32" s="464"/>
      <c r="S32" s="464"/>
      <c r="T32" s="464"/>
      <c r="U32" s="464"/>
      <c r="V32" s="464"/>
      <c r="W32" s="464"/>
      <c r="X32" s="464"/>
      <c r="Y32" s="464"/>
      <c r="Z32" s="464"/>
      <c r="AA32" s="225"/>
      <c r="AB32" s="225"/>
      <c r="AC32" s="442" t="s">
        <v>204</v>
      </c>
      <c r="AD32" s="444" t="e">
        <f>DATE(taxyear,12,31)</f>
        <v>#VALUE!</v>
      </c>
      <c r="AE32" s="442"/>
    </row>
    <row r="33" spans="1:31" ht="14.25" customHeight="1" thickTop="1" thickBot="1">
      <c r="A33" s="463">
        <v>2</v>
      </c>
      <c r="B33" s="464" t="s">
        <v>205</v>
      </c>
      <c r="C33" s="464"/>
      <c r="D33" s="464"/>
      <c r="E33" s="464"/>
      <c r="F33" s="1634">
        <v>43646</v>
      </c>
      <c r="G33" s="1635"/>
      <c r="H33" s="1635"/>
      <c r="I33" s="1636"/>
      <c r="J33" s="464"/>
      <c r="K33" s="464"/>
      <c r="L33" s="464"/>
      <c r="M33" s="473" t="s">
        <v>437</v>
      </c>
      <c r="N33" s="473"/>
      <c r="O33" s="473"/>
      <c r="P33" s="473"/>
      <c r="Q33" s="464"/>
      <c r="R33" s="473"/>
      <c r="S33" s="464"/>
      <c r="T33" s="301">
        <v>0</v>
      </c>
      <c r="U33" s="475"/>
      <c r="V33" s="475"/>
      <c r="W33" s="475"/>
      <c r="X33" s="475"/>
      <c r="Y33" s="475"/>
      <c r="Z33" s="475"/>
      <c r="AA33" s="225"/>
      <c r="AB33" s="225"/>
      <c r="AC33" s="442"/>
      <c r="AD33" s="442"/>
      <c r="AE33" s="442"/>
    </row>
    <row r="34" spans="1:31" ht="13.5" customHeight="1" thickTop="1">
      <c r="A34" s="463"/>
      <c r="B34" s="464" t="s">
        <v>206</v>
      </c>
      <c r="C34" s="464"/>
      <c r="D34" s="464"/>
      <c r="E34" s="464"/>
      <c r="F34" s="462"/>
      <c r="G34" s="462"/>
      <c r="H34" s="462"/>
      <c r="I34" s="462"/>
      <c r="J34" s="462"/>
      <c r="K34" s="462"/>
      <c r="L34" s="462"/>
      <c r="M34" s="462"/>
      <c r="N34" s="462"/>
      <c r="O34" s="462"/>
      <c r="P34" s="462"/>
      <c r="Q34" s="474"/>
      <c r="R34" s="462"/>
      <c r="S34" s="462"/>
      <c r="T34" s="476"/>
      <c r="U34" s="476"/>
      <c r="V34" s="476"/>
      <c r="W34" s="476"/>
      <c r="X34" s="476"/>
      <c r="Y34" s="476"/>
      <c r="Z34" s="476"/>
      <c r="AA34" s="225"/>
      <c r="AB34" s="225"/>
      <c r="AC34" s="442"/>
      <c r="AD34" s="442"/>
      <c r="AE34" s="442"/>
    </row>
    <row r="35" spans="1:31" ht="13.5" customHeight="1" thickBot="1">
      <c r="A35" s="463"/>
      <c r="B35" s="464"/>
      <c r="C35" s="464"/>
      <c r="D35" s="464"/>
      <c r="E35" s="464"/>
      <c r="F35" s="462"/>
      <c r="G35" s="462"/>
      <c r="H35" s="462"/>
      <c r="I35" s="462"/>
      <c r="J35" s="462"/>
      <c r="K35" s="462"/>
      <c r="L35" s="462"/>
      <c r="M35" s="462"/>
      <c r="N35" s="462"/>
      <c r="O35" s="462"/>
      <c r="P35" s="462"/>
      <c r="Q35" s="462"/>
      <c r="R35" s="462"/>
      <c r="S35" s="462"/>
      <c r="T35" s="476"/>
      <c r="U35" s="476"/>
      <c r="V35" s="476"/>
      <c r="W35" s="476"/>
      <c r="X35" s="476"/>
      <c r="Y35" s="476"/>
      <c r="Z35" s="476"/>
      <c r="AA35" s="225"/>
      <c r="AB35" s="225"/>
      <c r="AC35" s="442"/>
      <c r="AD35" s="442"/>
      <c r="AE35" s="442"/>
    </row>
    <row r="36" spans="1:31" ht="14.25" customHeight="1" thickTop="1" thickBot="1">
      <c r="A36" s="463">
        <v>3</v>
      </c>
      <c r="B36" s="464" t="s">
        <v>372</v>
      </c>
      <c r="C36" s="464"/>
      <c r="D36" s="464"/>
      <c r="E36" s="464"/>
      <c r="F36" s="343" t="s">
        <v>197</v>
      </c>
      <c r="G36" s="343" t="s">
        <v>197</v>
      </c>
      <c r="H36" s="343" t="s">
        <v>197</v>
      </c>
      <c r="I36" s="343" t="s">
        <v>197</v>
      </c>
      <c r="J36" s="343" t="s">
        <v>197</v>
      </c>
      <c r="K36" s="343" t="s">
        <v>197</v>
      </c>
      <c r="L36" s="475"/>
      <c r="M36" s="479" t="s">
        <v>374</v>
      </c>
      <c r="N36" s="1624"/>
      <c r="O36" s="1624"/>
      <c r="P36" s="1624"/>
      <c r="Q36" s="1624"/>
      <c r="R36" s="1624"/>
      <c r="S36" s="476"/>
      <c r="T36" s="1625">
        <v>0</v>
      </c>
      <c r="U36" s="1626"/>
      <c r="V36" s="1626"/>
      <c r="W36" s="1627"/>
      <c r="X36" s="475"/>
      <c r="Y36" s="475"/>
      <c r="Z36" s="475"/>
      <c r="AA36" s="225"/>
      <c r="AB36" s="225"/>
      <c r="AC36" s="442"/>
      <c r="AD36" s="442"/>
      <c r="AE36" s="442"/>
    </row>
    <row r="37" spans="1:31" ht="14.25" customHeight="1" thickTop="1" thickBot="1">
      <c r="A37" s="463"/>
      <c r="B37" s="464"/>
      <c r="C37" s="464"/>
      <c r="D37" s="464"/>
      <c r="E37" s="464"/>
      <c r="F37" s="476"/>
      <c r="G37" s="476"/>
      <c r="H37" s="476"/>
      <c r="I37" s="476"/>
      <c r="J37" s="476"/>
      <c r="K37" s="476"/>
      <c r="L37" s="476"/>
      <c r="M37" s="476"/>
      <c r="N37" s="476"/>
      <c r="O37" s="476"/>
      <c r="P37" s="476"/>
      <c r="Q37" s="476"/>
      <c r="R37" s="476"/>
      <c r="S37" s="476"/>
      <c r="T37" s="476"/>
      <c r="U37" s="476"/>
      <c r="V37" s="476"/>
      <c r="W37" s="476"/>
      <c r="X37" s="476"/>
      <c r="Y37" s="476"/>
      <c r="Z37" s="476"/>
      <c r="AA37" s="225"/>
      <c r="AB37" s="225"/>
      <c r="AC37" s="442"/>
      <c r="AD37" s="442"/>
      <c r="AE37" s="442"/>
    </row>
    <row r="38" spans="1:31" ht="14.25" customHeight="1" thickTop="1" thickBot="1">
      <c r="A38" s="463">
        <v>4</v>
      </c>
      <c r="B38" s="464" t="s">
        <v>207</v>
      </c>
      <c r="C38" s="464"/>
      <c r="D38" s="464"/>
      <c r="E38" s="464" t="s">
        <v>210</v>
      </c>
      <c r="F38" s="343" t="s">
        <v>197</v>
      </c>
      <c r="G38" s="475" t="s">
        <v>185</v>
      </c>
      <c r="H38" s="475"/>
      <c r="I38" s="475"/>
      <c r="J38" s="475"/>
      <c r="K38" s="475"/>
      <c r="L38" s="475"/>
      <c r="M38" s="475"/>
      <c r="N38" s="475" t="s">
        <v>213</v>
      </c>
      <c r="O38" s="343" t="s">
        <v>197</v>
      </c>
      <c r="P38" s="1532" t="s">
        <v>407</v>
      </c>
      <c r="Q38" s="1606"/>
      <c r="R38" s="1606"/>
      <c r="S38" s="1606"/>
      <c r="T38" s="1606"/>
      <c r="U38" s="1606"/>
      <c r="V38" s="1606"/>
      <c r="W38" s="1606"/>
      <c r="X38" s="1606"/>
      <c r="Y38" s="1606"/>
      <c r="Z38" s="475"/>
      <c r="AA38" s="225"/>
      <c r="AB38" s="225"/>
      <c r="AC38" s="442"/>
      <c r="AD38" s="442"/>
      <c r="AE38" s="442"/>
    </row>
    <row r="39" spans="1:31" ht="14.25" customHeight="1" thickTop="1" thickBot="1">
      <c r="A39" s="463"/>
      <c r="B39" s="464"/>
      <c r="C39" s="464"/>
      <c r="D39" s="464"/>
      <c r="E39" s="464"/>
      <c r="F39" s="476"/>
      <c r="G39" s="476"/>
      <c r="H39" s="476"/>
      <c r="I39" s="476"/>
      <c r="J39" s="476"/>
      <c r="K39" s="476"/>
      <c r="L39" s="476"/>
      <c r="M39" s="476"/>
      <c r="N39" s="476"/>
      <c r="O39" s="477"/>
      <c r="P39" s="1606"/>
      <c r="Q39" s="1606"/>
      <c r="R39" s="1606"/>
      <c r="S39" s="1606"/>
      <c r="T39" s="1606"/>
      <c r="U39" s="1606"/>
      <c r="V39" s="1606"/>
      <c r="W39" s="1606"/>
      <c r="X39" s="1606"/>
      <c r="Y39" s="1606"/>
      <c r="Z39" s="476"/>
      <c r="AA39" s="225"/>
      <c r="AB39" s="225"/>
      <c r="AC39" s="442"/>
      <c r="AD39" s="442"/>
      <c r="AE39" s="442"/>
    </row>
    <row r="40" spans="1:31" ht="15" customHeight="1" thickTop="1" thickBot="1">
      <c r="A40" s="463"/>
      <c r="B40" s="464"/>
      <c r="C40" s="464"/>
      <c r="D40" s="464"/>
      <c r="E40" s="464" t="s">
        <v>212</v>
      </c>
      <c r="F40" s="343" t="s">
        <v>197</v>
      </c>
      <c r="G40" s="475" t="s">
        <v>438</v>
      </c>
      <c r="H40" s="475"/>
      <c r="I40" s="475"/>
      <c r="J40" s="475"/>
      <c r="K40" s="475"/>
      <c r="L40" s="475"/>
      <c r="M40" s="475"/>
      <c r="N40" s="475" t="s">
        <v>215</v>
      </c>
      <c r="O40" s="343" t="s">
        <v>197</v>
      </c>
      <c r="P40" s="1532" t="s">
        <v>408</v>
      </c>
      <c r="Q40" s="1532"/>
      <c r="R40" s="1532"/>
      <c r="S40" s="1532"/>
      <c r="T40" s="1532"/>
      <c r="U40" s="1532"/>
      <c r="V40" s="1532"/>
      <c r="W40" s="1532"/>
      <c r="X40" s="1532"/>
      <c r="Y40" s="1532"/>
      <c r="Z40" s="1532"/>
      <c r="AA40" s="225"/>
      <c r="AB40" s="225"/>
      <c r="AC40" s="442"/>
      <c r="AD40" s="442"/>
      <c r="AE40" s="442"/>
    </row>
    <row r="41" spans="1:31" ht="13.5" customHeight="1" thickTop="1">
      <c r="A41" s="463"/>
      <c r="B41" s="464"/>
      <c r="C41" s="464"/>
      <c r="D41" s="464"/>
      <c r="E41" s="464"/>
      <c r="F41" s="475"/>
      <c r="G41" s="475" t="s">
        <v>208</v>
      </c>
      <c r="H41" s="475"/>
      <c r="I41" s="475"/>
      <c r="J41" s="475"/>
      <c r="K41" s="475"/>
      <c r="L41" s="475"/>
      <c r="M41" s="475"/>
      <c r="N41" s="475"/>
      <c r="O41" s="475"/>
      <c r="P41" s="1532"/>
      <c r="Q41" s="1532"/>
      <c r="R41" s="1532"/>
      <c r="S41" s="1532"/>
      <c r="T41" s="1532"/>
      <c r="U41" s="1532"/>
      <c r="V41" s="1532"/>
      <c r="W41" s="1532"/>
      <c r="X41" s="1532"/>
      <c r="Y41" s="1532"/>
      <c r="Z41" s="1532"/>
      <c r="AA41" s="225"/>
      <c r="AB41" s="225"/>
      <c r="AC41" s="442"/>
      <c r="AD41" s="442"/>
      <c r="AE41" s="442"/>
    </row>
    <row r="42" spans="1:31" ht="13.5" customHeight="1" thickBot="1">
      <c r="A42" s="463"/>
      <c r="B42" s="464"/>
      <c r="C42" s="464"/>
      <c r="D42" s="464"/>
      <c r="E42" s="464"/>
      <c r="F42" s="475"/>
      <c r="G42" s="475"/>
      <c r="H42" s="475"/>
      <c r="I42" s="475"/>
      <c r="J42" s="475"/>
      <c r="K42" s="475"/>
      <c r="L42" s="475"/>
      <c r="M42" s="475"/>
      <c r="N42" s="475"/>
      <c r="O42" s="475"/>
      <c r="P42" s="475"/>
      <c r="Q42" s="475"/>
      <c r="R42" s="475"/>
      <c r="S42" s="475"/>
      <c r="T42" s="475"/>
      <c r="U42" s="475"/>
      <c r="V42" s="475"/>
      <c r="W42" s="475"/>
      <c r="X42" s="475"/>
      <c r="Y42" s="475"/>
      <c r="Z42" s="475"/>
      <c r="AA42" s="225"/>
      <c r="AB42" s="225"/>
      <c r="AC42" s="442"/>
      <c r="AD42" s="442"/>
      <c r="AE42" s="442"/>
    </row>
    <row r="43" spans="1:55" ht="18" customHeight="1" thickTop="1" thickBot="1">
      <c r="A43" s="463">
        <v>5</v>
      </c>
      <c r="B43" s="464" t="s">
        <v>209</v>
      </c>
      <c r="C43" s="464"/>
      <c r="D43" s="464"/>
      <c r="E43" s="464" t="s">
        <v>210</v>
      </c>
      <c r="F43" s="343" t="s">
        <v>198</v>
      </c>
      <c r="G43" s="475" t="s">
        <v>211</v>
      </c>
      <c r="H43" s="475"/>
      <c r="I43" s="475"/>
      <c r="J43" s="475"/>
      <c r="K43" s="478"/>
      <c r="L43" s="475"/>
      <c r="M43" s="475"/>
      <c r="N43" s="475"/>
      <c r="O43" s="475"/>
      <c r="P43" s="475"/>
      <c r="Q43" s="475"/>
      <c r="R43" s="475"/>
      <c r="S43" s="475"/>
      <c r="T43" s="475"/>
      <c r="U43" s="475"/>
      <c r="V43" s="475"/>
      <c r="W43" s="479"/>
      <c r="X43" s="475"/>
      <c r="Y43" s="475"/>
      <c r="Z43" s="475"/>
      <c r="AA43" s="225"/>
      <c r="AB43" s="225"/>
      <c r="AC43" s="227"/>
      <c r="AD43" s="340"/>
      <c r="AE43" s="227"/>
      <c r="AF43" s="227"/>
      <c r="AG43" s="227"/>
      <c r="AH43" s="227"/>
      <c r="AI43" s="227"/>
      <c r="AJ43" s="227"/>
      <c r="AK43" s="227"/>
      <c r="AL43" s="227"/>
      <c r="AM43" s="227"/>
      <c r="AN43" s="227"/>
      <c r="AO43" s="227"/>
      <c r="AP43" s="227"/>
      <c r="AQ43" s="227"/>
      <c r="AR43" s="227"/>
      <c r="AS43" s="227"/>
      <c r="AT43" s="227"/>
      <c r="AU43" s="227"/>
      <c r="AV43" s="227"/>
      <c r="AW43" s="227"/>
      <c r="AX43" s="227"/>
      <c r="AY43" s="227"/>
      <c r="AZ43" s="227"/>
      <c r="BA43" s="227"/>
      <c r="BB43" s="227"/>
      <c r="BC43" s="227"/>
    </row>
    <row r="44" spans="1:55" ht="9.75" customHeight="1" thickTop="1" thickBot="1">
      <c r="A44" s="463"/>
      <c r="B44" s="464"/>
      <c r="C44" s="464"/>
      <c r="D44" s="464"/>
      <c r="E44" s="464"/>
      <c r="F44" s="478"/>
      <c r="G44" s="475"/>
      <c r="H44" s="475"/>
      <c r="I44" s="475"/>
      <c r="J44" s="475"/>
      <c r="K44" s="478"/>
      <c r="L44" s="475"/>
      <c r="M44" s="475"/>
      <c r="N44" s="475"/>
      <c r="O44" s="475"/>
      <c r="P44" s="475"/>
      <c r="Q44" s="478"/>
      <c r="R44" s="475"/>
      <c r="S44" s="478"/>
      <c r="T44" s="475"/>
      <c r="U44" s="475"/>
      <c r="V44" s="475"/>
      <c r="W44" s="479"/>
      <c r="X44" s="475"/>
      <c r="Y44" s="475"/>
      <c r="Z44" s="475"/>
      <c r="AA44" s="225"/>
      <c r="AB44" s="225"/>
      <c r="AC44" s="227"/>
      <c r="AD44" s="340"/>
      <c r="AE44" s="227"/>
      <c r="AF44" s="227"/>
      <c r="AG44" s="227"/>
      <c r="AH44" s="227"/>
      <c r="AI44" s="227"/>
      <c r="AJ44" s="227"/>
      <c r="AK44" s="227"/>
      <c r="AL44" s="227"/>
      <c r="AM44" s="227"/>
      <c r="AN44" s="227"/>
      <c r="AO44" s="227"/>
      <c r="AP44" s="227"/>
      <c r="AQ44" s="227"/>
      <c r="AR44" s="227"/>
      <c r="AS44" s="227"/>
      <c r="AT44" s="227"/>
      <c r="AU44" s="227"/>
      <c r="AV44" s="227"/>
      <c r="AW44" s="227"/>
      <c r="AX44" s="227"/>
      <c r="AY44" s="227"/>
      <c r="AZ44" s="227"/>
      <c r="BA44" s="227"/>
      <c r="BB44" s="227"/>
      <c r="BC44" s="227"/>
    </row>
    <row r="45" spans="1:55" ht="18" customHeight="1" thickTop="1" thickBot="1">
      <c r="A45" s="463"/>
      <c r="B45" s="464"/>
      <c r="C45" s="464"/>
      <c r="D45" s="464"/>
      <c r="E45" s="464" t="s">
        <v>212</v>
      </c>
      <c r="F45" s="343" t="s">
        <v>197</v>
      </c>
      <c r="G45" s="475" t="s">
        <v>214</v>
      </c>
      <c r="H45" s="478"/>
      <c r="I45" s="475"/>
      <c r="J45" s="475"/>
      <c r="K45" s="478"/>
      <c r="L45" s="475"/>
      <c r="M45" s="475"/>
      <c r="N45" s="478"/>
      <c r="O45" s="475"/>
      <c r="P45" s="475"/>
      <c r="Q45" s="478"/>
      <c r="R45" s="475"/>
      <c r="S45" s="478"/>
      <c r="T45" s="475"/>
      <c r="U45" s="475"/>
      <c r="V45" s="475"/>
      <c r="W45" s="479"/>
      <c r="X45" s="475"/>
      <c r="Y45" s="475"/>
      <c r="Z45" s="475"/>
      <c r="AA45" s="225"/>
      <c r="AB45" s="225"/>
      <c r="AC45" s="227"/>
      <c r="AD45" s="340"/>
      <c r="AE45" s="227"/>
      <c r="AF45" s="227"/>
      <c r="AG45" s="227"/>
      <c r="AH45" s="227"/>
      <c r="AI45" s="227"/>
      <c r="AJ45" s="227"/>
      <c r="AK45" s="227"/>
      <c r="AL45" s="227"/>
      <c r="AM45" s="227"/>
      <c r="AN45" s="227"/>
      <c r="AO45" s="227"/>
      <c r="AP45" s="227"/>
      <c r="AQ45" s="227"/>
      <c r="AR45" s="227"/>
      <c r="AS45" s="227"/>
      <c r="AT45" s="227"/>
      <c r="AU45" s="227"/>
      <c r="AV45" s="227"/>
      <c r="AW45" s="227"/>
      <c r="AX45" s="227"/>
      <c r="AY45" s="227"/>
      <c r="AZ45" s="227"/>
      <c r="BA45" s="227"/>
      <c r="BB45" s="227"/>
      <c r="BC45" s="227"/>
    </row>
    <row r="46" spans="1:55" ht="9.75" customHeight="1" thickTop="1" thickBot="1">
      <c r="A46" s="463"/>
      <c r="B46" s="464"/>
      <c r="C46" s="464"/>
      <c r="D46" s="464"/>
      <c r="E46" s="464"/>
      <c r="F46" s="478"/>
      <c r="G46" s="475"/>
      <c r="H46" s="475"/>
      <c r="I46" s="475"/>
      <c r="J46" s="475"/>
      <c r="K46" s="478"/>
      <c r="L46" s="475"/>
      <c r="M46" s="475"/>
      <c r="N46" s="475"/>
      <c r="O46" s="475"/>
      <c r="P46" s="475"/>
      <c r="Q46" s="478"/>
      <c r="R46" s="475"/>
      <c r="S46" s="478"/>
      <c r="T46" s="475"/>
      <c r="U46" s="475"/>
      <c r="V46" s="475"/>
      <c r="W46" s="479"/>
      <c r="X46" s="475"/>
      <c r="Y46" s="475"/>
      <c r="Z46" s="475"/>
      <c r="AA46" s="225"/>
      <c r="AB46" s="225"/>
      <c r="AC46" s="227"/>
      <c r="AD46" s="340"/>
      <c r="AE46" s="227"/>
      <c r="AF46" s="227"/>
      <c r="AG46" s="227"/>
      <c r="AH46" s="227"/>
      <c r="AI46" s="227"/>
      <c r="AJ46" s="227"/>
      <c r="AK46" s="227"/>
      <c r="AL46" s="227"/>
      <c r="AM46" s="227"/>
      <c r="AN46" s="227"/>
      <c r="AO46" s="227"/>
      <c r="AP46" s="227"/>
      <c r="AQ46" s="227"/>
      <c r="AR46" s="227"/>
      <c r="AS46" s="227"/>
      <c r="AT46" s="227"/>
      <c r="AU46" s="227"/>
      <c r="AV46" s="227"/>
      <c r="AW46" s="227"/>
      <c r="AX46" s="227"/>
      <c r="AY46" s="227"/>
      <c r="AZ46" s="227"/>
      <c r="BA46" s="227"/>
      <c r="BB46" s="227"/>
      <c r="BC46" s="227"/>
    </row>
    <row r="47" spans="1:55" ht="18" customHeight="1" thickTop="1" thickBot="1">
      <c r="A47" s="463"/>
      <c r="B47" s="464"/>
      <c r="C47" s="464"/>
      <c r="D47" s="464"/>
      <c r="E47" s="464" t="s">
        <v>213</v>
      </c>
      <c r="F47" s="343" t="s">
        <v>197</v>
      </c>
      <c r="G47" s="475" t="s">
        <v>414</v>
      </c>
      <c r="H47" s="475"/>
      <c r="I47" s="475"/>
      <c r="J47" s="475"/>
      <c r="K47" s="478"/>
      <c r="L47" s="475"/>
      <c r="M47" s="475"/>
      <c r="N47" s="478"/>
      <c r="O47" s="475"/>
      <c r="P47" s="475"/>
      <c r="Q47" s="478"/>
      <c r="R47" s="478"/>
      <c r="S47" s="478"/>
      <c r="T47" s="475"/>
      <c r="U47" s="475"/>
      <c r="V47" s="475"/>
      <c r="W47" s="475"/>
      <c r="X47" s="475"/>
      <c r="Y47" s="475"/>
      <c r="Z47" s="475"/>
      <c r="AA47" s="225"/>
      <c r="AB47" s="225"/>
      <c r="AC47" s="227"/>
      <c r="AD47" s="340"/>
      <c r="AE47" s="227"/>
      <c r="AF47" s="227"/>
      <c r="AG47" s="227"/>
      <c r="AH47" s="227"/>
      <c r="AI47" s="227"/>
      <c r="AJ47" s="227"/>
      <c r="AK47" s="227"/>
      <c r="AL47" s="227"/>
      <c r="AM47" s="227"/>
      <c r="AN47" s="227"/>
      <c r="AO47" s="227"/>
      <c r="AP47" s="227"/>
      <c r="AQ47" s="227"/>
      <c r="AR47" s="227"/>
      <c r="AS47" s="227"/>
      <c r="AT47" s="227"/>
      <c r="AU47" s="227"/>
      <c r="AV47" s="227"/>
      <c r="AW47" s="227"/>
      <c r="AX47" s="227"/>
      <c r="AY47" s="227"/>
      <c r="AZ47" s="227"/>
      <c r="BA47" s="227"/>
      <c r="BB47" s="227"/>
      <c r="BC47" s="227"/>
    </row>
    <row r="48" spans="1:55" ht="10.5" customHeight="1" thickTop="1" thickBot="1">
      <c r="A48" s="463"/>
      <c r="B48" s="464"/>
      <c r="C48" s="464"/>
      <c r="D48" s="464"/>
      <c r="E48" s="464"/>
      <c r="F48" s="478"/>
      <c r="G48" s="475"/>
      <c r="H48" s="475"/>
      <c r="I48" s="475"/>
      <c r="J48" s="475"/>
      <c r="K48" s="478"/>
      <c r="L48" s="475"/>
      <c r="M48" s="475"/>
      <c r="N48" s="478"/>
      <c r="O48" s="475"/>
      <c r="P48" s="475"/>
      <c r="Q48" s="478"/>
      <c r="R48" s="475"/>
      <c r="S48" s="478"/>
      <c r="T48" s="475"/>
      <c r="U48" s="475"/>
      <c r="V48" s="475"/>
      <c r="W48" s="475"/>
      <c r="X48" s="475"/>
      <c r="Y48" s="475"/>
      <c r="Z48" s="475"/>
      <c r="AA48" s="225"/>
      <c r="AB48" s="225"/>
      <c r="AC48" s="227"/>
      <c r="AD48" s="340"/>
      <c r="AE48" s="227"/>
      <c r="AF48" s="227"/>
      <c r="AG48" s="227"/>
      <c r="AH48" s="227"/>
      <c r="AI48" s="227"/>
      <c r="AJ48" s="227"/>
      <c r="AK48" s="227"/>
      <c r="AL48" s="227"/>
      <c r="AM48" s="227"/>
      <c r="AN48" s="227"/>
      <c r="AO48" s="227"/>
      <c r="AP48" s="227"/>
      <c r="AQ48" s="227"/>
      <c r="AR48" s="227"/>
      <c r="AS48" s="227"/>
      <c r="AT48" s="227"/>
      <c r="AU48" s="227"/>
      <c r="AV48" s="227"/>
      <c r="AW48" s="227"/>
      <c r="AX48" s="227"/>
      <c r="AY48" s="227"/>
      <c r="AZ48" s="227"/>
      <c r="BA48" s="227"/>
      <c r="BB48" s="227"/>
      <c r="BC48" s="227"/>
    </row>
    <row r="49" spans="1:55" ht="21.75" customHeight="1" thickTop="1" thickBot="1">
      <c r="A49" s="463"/>
      <c r="B49" s="464"/>
      <c r="C49" s="464"/>
      <c r="D49" s="464"/>
      <c r="E49" s="464" t="s">
        <v>215</v>
      </c>
      <c r="F49" s="343" t="s">
        <v>197</v>
      </c>
      <c r="G49" s="480" t="s">
        <v>415</v>
      </c>
      <c r="H49" s="1607"/>
      <c r="I49" s="1607"/>
      <c r="J49" s="1607"/>
      <c r="K49" s="1607"/>
      <c r="L49" s="1607"/>
      <c r="M49" s="1607"/>
      <c r="N49" s="1607"/>
      <c r="O49" s="1607"/>
      <c r="P49" s="1607"/>
      <c r="Q49" s="1607"/>
      <c r="R49" s="1607"/>
      <c r="S49" s="1607"/>
      <c r="T49" s="1607"/>
      <c r="U49" s="1607"/>
      <c r="V49" s="1607"/>
      <c r="W49" s="1607"/>
      <c r="X49" s="1607"/>
      <c r="Y49" s="1607"/>
      <c r="Z49" s="475"/>
      <c r="AA49" s="225"/>
      <c r="AB49" s="225"/>
      <c r="AC49" s="227"/>
      <c r="AD49" s="340"/>
      <c r="AE49" s="227"/>
      <c r="AF49" s="227"/>
      <c r="AG49" s="227"/>
      <c r="AH49" s="227"/>
      <c r="AI49" s="227"/>
      <c r="AJ49" s="227"/>
      <c r="AK49" s="227"/>
      <c r="AL49" s="227"/>
      <c r="AM49" s="227"/>
      <c r="AN49" s="227"/>
      <c r="AO49" s="227"/>
      <c r="AP49" s="227"/>
      <c r="AQ49" s="227"/>
      <c r="AR49" s="227"/>
      <c r="AS49" s="227"/>
      <c r="AT49" s="227"/>
      <c r="AU49" s="227"/>
      <c r="AV49" s="227"/>
      <c r="AW49" s="227"/>
      <c r="AX49" s="227"/>
      <c r="AY49" s="227"/>
      <c r="AZ49" s="227"/>
      <c r="BA49" s="227"/>
      <c r="BB49" s="227"/>
      <c r="BC49" s="227"/>
    </row>
    <row r="50" spans="1:55" ht="9" customHeight="1" thickTop="1">
      <c r="A50" s="463"/>
      <c r="B50" s="464"/>
      <c r="C50" s="464"/>
      <c r="D50" s="464"/>
      <c r="E50" s="464"/>
      <c r="F50" s="475"/>
      <c r="G50" s="1607"/>
      <c r="H50" s="1607"/>
      <c r="I50" s="1607"/>
      <c r="J50" s="1607"/>
      <c r="K50" s="1607"/>
      <c r="L50" s="1607"/>
      <c r="M50" s="1607"/>
      <c r="N50" s="1607"/>
      <c r="O50" s="1607"/>
      <c r="P50" s="1607"/>
      <c r="Q50" s="1607"/>
      <c r="R50" s="1607"/>
      <c r="S50" s="1607"/>
      <c r="T50" s="1607"/>
      <c r="U50" s="1607"/>
      <c r="V50" s="1607"/>
      <c r="W50" s="1607"/>
      <c r="X50" s="1607"/>
      <c r="Y50" s="1607"/>
      <c r="Z50" s="475"/>
      <c r="AA50" s="225"/>
      <c r="AB50" s="225"/>
      <c r="AC50" s="227"/>
      <c r="AD50" s="340"/>
      <c r="AE50" s="227"/>
      <c r="AF50" s="227"/>
      <c r="AG50" s="227"/>
      <c r="AH50" s="227"/>
      <c r="AI50" s="227"/>
      <c r="AJ50" s="227"/>
      <c r="AK50" s="227"/>
      <c r="AL50" s="227"/>
      <c r="AM50" s="227"/>
      <c r="AN50" s="227"/>
      <c r="AO50" s="227"/>
      <c r="AP50" s="227"/>
      <c r="AQ50" s="227"/>
      <c r="AR50" s="227"/>
      <c r="AS50" s="227"/>
      <c r="AT50" s="227"/>
      <c r="AU50" s="227"/>
      <c r="AV50" s="227"/>
      <c r="AW50" s="227"/>
      <c r="AX50" s="227"/>
      <c r="AY50" s="227"/>
      <c r="AZ50" s="227"/>
      <c r="BA50" s="227"/>
      <c r="BB50" s="227"/>
      <c r="BC50" s="227"/>
    </row>
    <row r="51" spans="1:55" ht="16.5" customHeight="1" thickBot="1">
      <c r="A51" s="463"/>
      <c r="B51" s="464"/>
      <c r="C51" s="464"/>
      <c r="D51" s="464"/>
      <c r="E51" s="464"/>
      <c r="F51" s="475"/>
      <c r="G51" s="480"/>
      <c r="H51" s="1539" t="s">
        <v>483</v>
      </c>
      <c r="I51" s="1540"/>
      <c r="J51" s="1540"/>
      <c r="K51" s="1540"/>
      <c r="L51" s="1540"/>
      <c r="M51" s="1540"/>
      <c r="N51" s="1540"/>
      <c r="O51" s="1540"/>
      <c r="P51" s="480"/>
      <c r="Q51" s="1539" t="s">
        <v>484</v>
      </c>
      <c r="R51" s="1540"/>
      <c r="S51" s="1540"/>
      <c r="T51" s="1540"/>
      <c r="U51" s="1540"/>
      <c r="V51" s="1540"/>
      <c r="W51" s="1540"/>
      <c r="X51" s="1540"/>
      <c r="Y51" s="1540"/>
      <c r="Z51" s="475"/>
      <c r="AA51" s="225"/>
      <c r="AB51" s="225"/>
      <c r="AC51" s="340" t="s">
        <v>1404</v>
      </c>
      <c r="AD51" s="340" t="s">
        <v>1405</v>
      </c>
      <c r="AE51" s="340"/>
      <c r="AF51" s="227"/>
      <c r="AG51" s="227"/>
      <c r="AH51" s="227"/>
      <c r="AI51" s="227"/>
      <c r="AJ51" s="227"/>
      <c r="AK51" s="227"/>
      <c r="AL51" s="227"/>
      <c r="AM51" s="227"/>
      <c r="AN51" s="227"/>
      <c r="AO51" s="227"/>
      <c r="AP51" s="227"/>
      <c r="AQ51" s="227"/>
      <c r="AR51" s="227"/>
      <c r="AS51" s="227"/>
      <c r="AT51" s="227"/>
      <c r="AU51" s="227"/>
      <c r="AV51" s="227"/>
      <c r="AW51" s="227"/>
      <c r="AX51" s="227"/>
      <c r="AY51" s="227"/>
      <c r="AZ51" s="227"/>
      <c r="BA51" s="227"/>
      <c r="BB51" s="227"/>
      <c r="BC51" s="227"/>
    </row>
    <row r="52" spans="1:55" ht="39.75" customHeight="1" thickTop="1" thickBot="1">
      <c r="A52" s="463"/>
      <c r="B52" s="464"/>
      <c r="C52" s="464"/>
      <c r="D52" s="464"/>
      <c r="E52" s="471" t="s">
        <v>216</v>
      </c>
      <c r="F52" s="312" t="s">
        <v>198</v>
      </c>
      <c r="G52" s="478"/>
      <c r="H52" s="1541" t="s">
        <v>1454</v>
      </c>
      <c r="I52" s="1542"/>
      <c r="J52" s="1542"/>
      <c r="K52" s="1542"/>
      <c r="L52" s="1542"/>
      <c r="M52" s="1542"/>
      <c r="N52" s="1542"/>
      <c r="O52" s="1543"/>
      <c r="P52" s="481"/>
      <c r="Q52" s="1544"/>
      <c r="R52" s="1545"/>
      <c r="S52" s="1545"/>
      <c r="T52" s="1545"/>
      <c r="U52" s="1545"/>
      <c r="V52" s="1545"/>
      <c r="W52" s="1545"/>
      <c r="X52" s="1545"/>
      <c r="Y52" s="1546"/>
      <c r="Z52" s="475"/>
      <c r="AA52" s="225"/>
      <c r="AB52" s="225"/>
      <c r="AC52" s="340">
        <f>IF(COUNTIF('GENERAL INFO'!H52,"*;*"),LEFT('GENERAL INFO'!H52,FIND(";",'GENERAL INFO'!H52,1)-1),H52)</f>
        <v>0</v>
      </c>
      <c r="AD52" s="340">
        <f>IF(COUNTIF('GENERAL INFO'!Q52,"*;*"),LEFT('GENERAL INFO'!Q52,FIND(";",'GENERAL INFO'!Q52,1)-1),Q52)</f>
        <v>0</v>
      </c>
      <c r="AE52" s="340"/>
      <c r="AF52" s="227"/>
      <c r="AG52" s="227"/>
      <c r="AH52" s="227"/>
      <c r="AI52" s="227"/>
      <c r="AJ52" s="227"/>
      <c r="AK52" s="227"/>
      <c r="AL52" s="227"/>
      <c r="AM52" s="227"/>
      <c r="AN52" s="227"/>
      <c r="AO52" s="227"/>
      <c r="AP52" s="227"/>
      <c r="AQ52" s="227"/>
      <c r="AR52" s="227"/>
      <c r="AS52" s="227"/>
      <c r="AT52" s="227"/>
      <c r="AU52" s="227"/>
      <c r="AV52" s="227"/>
      <c r="AW52" s="227"/>
      <c r="AX52" s="227"/>
      <c r="AY52" s="227"/>
      <c r="AZ52" s="227"/>
      <c r="BA52" s="227"/>
      <c r="BB52" s="227"/>
      <c r="BC52" s="227"/>
    </row>
    <row r="53" spans="1:55" ht="7.5" customHeight="1" thickTop="1" thickBot="1">
      <c r="A53" s="463"/>
      <c r="B53" s="464"/>
      <c r="C53" s="464"/>
      <c r="D53" s="464"/>
      <c r="E53" s="464"/>
      <c r="F53" s="475"/>
      <c r="G53" s="475"/>
      <c r="H53" s="481"/>
      <c r="I53" s="481"/>
      <c r="J53" s="481"/>
      <c r="K53" s="481"/>
      <c r="L53" s="481"/>
      <c r="M53" s="481"/>
      <c r="N53" s="481"/>
      <c r="O53" s="481"/>
      <c r="P53" s="481"/>
      <c r="Q53" s="481"/>
      <c r="R53" s="481"/>
      <c r="S53" s="481"/>
      <c r="T53" s="481"/>
      <c r="U53" s="481"/>
      <c r="V53" s="481"/>
      <c r="W53" s="481"/>
      <c r="X53" s="481"/>
      <c r="Y53" s="481"/>
      <c r="Z53" s="475"/>
      <c r="AA53" s="225"/>
      <c r="AB53" s="225"/>
      <c r="AC53" s="340"/>
      <c r="AD53" s="340"/>
      <c r="AE53" s="340"/>
      <c r="AF53" s="227"/>
      <c r="AG53" s="227"/>
      <c r="AH53" s="227"/>
      <c r="AI53" s="227"/>
      <c r="AJ53" s="227"/>
      <c r="AK53" s="227"/>
      <c r="AL53" s="227"/>
      <c r="AM53" s="227"/>
      <c r="AN53" s="227"/>
      <c r="AO53" s="227"/>
      <c r="AP53" s="227"/>
      <c r="AQ53" s="227"/>
      <c r="AR53" s="227"/>
      <c r="AS53" s="227"/>
      <c r="AT53" s="227"/>
      <c r="AU53" s="227"/>
      <c r="AV53" s="227"/>
      <c r="AW53" s="227"/>
      <c r="AX53" s="227"/>
      <c r="AY53" s="227"/>
      <c r="AZ53" s="227"/>
      <c r="BA53" s="227"/>
      <c r="BB53" s="227"/>
      <c r="BC53" s="227"/>
    </row>
    <row r="54" spans="1:55" ht="42.75" customHeight="1" thickTop="1" thickBot="1">
      <c r="A54" s="463"/>
      <c r="B54" s="464"/>
      <c r="C54" s="464"/>
      <c r="D54" s="464"/>
      <c r="E54" s="464"/>
      <c r="F54" s="475"/>
      <c r="G54" s="475"/>
      <c r="H54" s="1541" t="s">
        <v>1454</v>
      </c>
      <c r="I54" s="1542"/>
      <c r="J54" s="1542"/>
      <c r="K54" s="1542"/>
      <c r="L54" s="1542"/>
      <c r="M54" s="1542"/>
      <c r="N54" s="1542"/>
      <c r="O54" s="1543"/>
      <c r="P54" s="481"/>
      <c r="Q54" s="1544"/>
      <c r="R54" s="1545"/>
      <c r="S54" s="1545"/>
      <c r="T54" s="1545"/>
      <c r="U54" s="1545"/>
      <c r="V54" s="1545"/>
      <c r="W54" s="1545"/>
      <c r="X54" s="1545"/>
      <c r="Y54" s="1546"/>
      <c r="Z54" s="475"/>
      <c r="AA54" s="225"/>
      <c r="AB54" s="225"/>
      <c r="AC54" s="340">
        <f>IF(COUNTIF('GENERAL INFO'!H52,"*;*"),RIGHT('GENERAL INFO'!H52,LEN('GENERAL INFO'!H52)-FIND(";", 'GENERAL INFO'!H52,1)), "")</f>
        <v>0</v>
      </c>
      <c r="AD54" s="340">
        <f>IF(COUNTIF('GENERAL INFO'!Q52,"*;*"),RIGHT('GENERAL INFO'!Q52,LEN('GENERAL INFO'!Q52)-FIND(";", 'GENERAL INFO'!Q52,1)), "")</f>
        <v>0</v>
      </c>
      <c r="AE54" s="340"/>
      <c r="AF54" s="227"/>
      <c r="AG54" s="227"/>
      <c r="AH54" s="227"/>
      <c r="AI54" s="227"/>
      <c r="AJ54" s="227"/>
      <c r="AK54" s="227"/>
      <c r="AL54" s="227"/>
      <c r="AM54" s="227"/>
      <c r="AN54" s="227"/>
      <c r="AO54" s="227"/>
      <c r="AP54" s="227"/>
      <c r="AQ54" s="227"/>
      <c r="AR54" s="227"/>
      <c r="AS54" s="227"/>
      <c r="AT54" s="227"/>
      <c r="AU54" s="227"/>
      <c r="AV54" s="227"/>
      <c r="AW54" s="227"/>
      <c r="AX54" s="227"/>
      <c r="AY54" s="227"/>
      <c r="AZ54" s="227"/>
      <c r="BA54" s="227"/>
      <c r="BB54" s="227"/>
      <c r="BC54" s="227"/>
    </row>
    <row r="55" spans="1:55" ht="18" customHeight="1" thickTop="1" thickBot="1">
      <c r="A55" s="468">
        <v>6</v>
      </c>
      <c r="B55" s="467" t="s">
        <v>367</v>
      </c>
      <c r="C55" s="467"/>
      <c r="D55" s="467"/>
      <c r="E55" s="467"/>
      <c r="F55" s="482"/>
      <c r="G55" s="482"/>
      <c r="H55" s="482"/>
      <c r="I55" s="482"/>
      <c r="J55" s="482"/>
      <c r="K55" s="482"/>
      <c r="L55" s="482"/>
      <c r="M55" s="482"/>
      <c r="N55" s="482"/>
      <c r="O55" s="482"/>
      <c r="P55" s="482"/>
      <c r="Q55" s="482"/>
      <c r="R55" s="482"/>
      <c r="S55" s="482"/>
      <c r="T55" s="482"/>
      <c r="U55" s="482"/>
      <c r="V55" s="482"/>
      <c r="W55" s="445"/>
      <c r="X55" s="475"/>
      <c r="Y55" s="475"/>
      <c r="Z55" s="475"/>
      <c r="AA55" s="225"/>
      <c r="AB55" s="225"/>
      <c r="AC55" s="340"/>
      <c r="AD55" s="340"/>
      <c r="AE55" s="340"/>
      <c r="AF55" s="227"/>
      <c r="AG55" s="227"/>
      <c r="AH55" s="227"/>
      <c r="AI55" s="227"/>
      <c r="AJ55" s="227"/>
      <c r="AK55" s="227"/>
      <c r="AL55" s="227"/>
      <c r="AM55" s="227"/>
      <c r="AN55" s="227"/>
      <c r="AO55" s="227"/>
      <c r="AP55" s="227"/>
      <c r="AQ55" s="227"/>
      <c r="AR55" s="227"/>
      <c r="AS55" s="227"/>
      <c r="AT55" s="227"/>
      <c r="AU55" s="227"/>
      <c r="AV55" s="227"/>
      <c r="AW55" s="227"/>
      <c r="AX55" s="227"/>
      <c r="AY55" s="227"/>
      <c r="AZ55" s="227"/>
      <c r="BA55" s="227"/>
      <c r="BB55" s="227"/>
      <c r="BC55" s="227"/>
    </row>
    <row r="56" spans="1:55" ht="17.25" customHeight="1" thickTop="1">
      <c r="A56" s="468"/>
      <c r="B56" s="472"/>
      <c r="C56" s="467"/>
      <c r="D56" s="467"/>
      <c r="E56" s="467"/>
      <c r="F56" s="482"/>
      <c r="G56" s="482"/>
      <c r="H56" s="482"/>
      <c r="I56" s="482"/>
      <c r="J56" s="482"/>
      <c r="K56" s="482"/>
      <c r="L56" s="482"/>
      <c r="M56" s="482"/>
      <c r="N56" s="482"/>
      <c r="O56" s="482"/>
      <c r="P56" s="482"/>
      <c r="Q56" s="482"/>
      <c r="R56" s="482"/>
      <c r="S56" s="482"/>
      <c r="T56" s="482"/>
      <c r="U56" s="482"/>
      <c r="V56" s="482"/>
      <c r="W56" s="475"/>
      <c r="X56" s="475"/>
      <c r="Y56" s="475"/>
      <c r="Z56" s="475"/>
      <c r="AA56" s="225"/>
      <c r="AB56" s="225"/>
      <c r="AC56" s="227"/>
      <c r="AD56" s="340"/>
      <c r="AE56" s="227"/>
      <c r="AF56" s="227"/>
      <c r="AG56" s="227"/>
      <c r="AH56" s="227"/>
      <c r="AI56" s="227"/>
      <c r="AJ56" s="227"/>
      <c r="AK56" s="227"/>
      <c r="AL56" s="227"/>
      <c r="AM56" s="227"/>
      <c r="AN56" s="227"/>
      <c r="AO56" s="227"/>
      <c r="AP56" s="227"/>
      <c r="AQ56" s="227"/>
      <c r="AR56" s="227"/>
      <c r="AS56" s="227"/>
      <c r="AT56" s="227"/>
      <c r="AU56" s="227"/>
      <c r="AV56" s="227"/>
      <c r="AW56" s="227"/>
      <c r="AX56" s="227"/>
      <c r="AY56" s="227"/>
      <c r="AZ56" s="227"/>
      <c r="BA56" s="227"/>
      <c r="BB56" s="227"/>
      <c r="BC56" s="227"/>
    </row>
    <row r="57" spans="1:55" ht="17.25" customHeight="1" thickBot="1">
      <c r="A57" s="463">
        <v>7</v>
      </c>
      <c r="B57" s="464" t="s">
        <v>217</v>
      </c>
      <c r="C57" s="464"/>
      <c r="D57" s="464"/>
      <c r="E57" s="464"/>
      <c r="F57" s="475"/>
      <c r="G57" s="475"/>
      <c r="H57" s="475"/>
      <c r="I57" s="475"/>
      <c r="J57" s="475"/>
      <c r="K57" s="475"/>
      <c r="L57" s="475"/>
      <c r="M57" s="475"/>
      <c r="N57" s="475"/>
      <c r="O57" s="475"/>
      <c r="P57" s="475"/>
      <c r="Q57" s="475"/>
      <c r="R57" s="475"/>
      <c r="S57" s="475"/>
      <c r="T57" s="475"/>
      <c r="U57" s="475"/>
      <c r="V57" s="475"/>
      <c r="W57" s="475"/>
      <c r="X57" s="475"/>
      <c r="Y57" s="475"/>
      <c r="Z57" s="475"/>
      <c r="AA57" s="225"/>
      <c r="AB57" s="225"/>
      <c r="AC57" s="227"/>
      <c r="AD57" s="340"/>
      <c r="AE57" s="227"/>
      <c r="AF57" s="227"/>
      <c r="AG57" s="227"/>
      <c r="AH57" s="227"/>
      <c r="AI57" s="227"/>
      <c r="AJ57" s="227"/>
      <c r="AK57" s="227"/>
      <c r="AL57" s="227"/>
      <c r="AM57" s="227"/>
      <c r="AN57" s="227"/>
      <c r="AO57" s="227"/>
      <c r="AP57" s="227"/>
      <c r="AQ57" s="227"/>
      <c r="AR57" s="227"/>
      <c r="AS57" s="227"/>
      <c r="AT57" s="227"/>
      <c r="AU57" s="227"/>
      <c r="AV57" s="227"/>
      <c r="AW57" s="227"/>
      <c r="AX57" s="227"/>
      <c r="AY57" s="227"/>
      <c r="AZ57" s="227"/>
      <c r="BA57" s="227"/>
      <c r="BB57" s="227"/>
      <c r="BC57" s="227"/>
    </row>
    <row r="58" spans="1:55" ht="18" customHeight="1" thickTop="1" thickBot="1">
      <c r="A58" s="478"/>
      <c r="B58" s="343" t="s">
        <v>198</v>
      </c>
      <c r="C58" s="475" t="s">
        <v>218</v>
      </c>
      <c r="D58" s="475"/>
      <c r="E58" s="475"/>
      <c r="F58" s="475"/>
      <c r="G58" s="475"/>
      <c r="H58" s="475"/>
      <c r="I58" s="475"/>
      <c r="J58" s="475"/>
      <c r="K58" s="475"/>
      <c r="L58" s="475"/>
      <c r="M58" s="475"/>
      <c r="N58" s="475"/>
      <c r="O58" s="475"/>
      <c r="P58" s="475"/>
      <c r="Q58" s="475"/>
      <c r="R58" s="475"/>
      <c r="S58" s="475"/>
      <c r="T58" s="475"/>
      <c r="U58" s="475"/>
      <c r="V58" s="475"/>
      <c r="W58" s="475"/>
      <c r="X58" s="475"/>
      <c r="Y58" s="475"/>
      <c r="Z58" s="475"/>
      <c r="AA58" s="225"/>
      <c r="AB58" s="225"/>
      <c r="AC58" s="227"/>
      <c r="AD58" s="340"/>
      <c r="AE58" s="227"/>
      <c r="AF58" s="227"/>
      <c r="AG58" s="227"/>
      <c r="AH58" s="227"/>
      <c r="AI58" s="227"/>
      <c r="AJ58" s="227"/>
      <c r="AK58" s="227"/>
      <c r="AL58" s="227"/>
      <c r="AM58" s="227"/>
      <c r="AN58" s="227"/>
      <c r="AO58" s="227"/>
      <c r="AP58" s="227"/>
      <c r="AQ58" s="227"/>
      <c r="AR58" s="227"/>
      <c r="AS58" s="227"/>
      <c r="AT58" s="227"/>
      <c r="AU58" s="227"/>
      <c r="AV58" s="227"/>
      <c r="AW58" s="227"/>
      <c r="AX58" s="227"/>
      <c r="AY58" s="227"/>
      <c r="AZ58" s="227"/>
      <c r="BA58" s="227"/>
      <c r="BB58" s="227"/>
      <c r="BC58" s="227"/>
    </row>
    <row r="59" spans="1:55" ht="18" customHeight="1" thickTop="1" thickBot="1">
      <c r="A59" s="478"/>
      <c r="B59" s="446" t="s">
        <v>197</v>
      </c>
      <c r="C59" s="475" t="s">
        <v>369</v>
      </c>
      <c r="D59" s="1667"/>
      <c r="E59" s="1668"/>
      <c r="F59" s="1668"/>
      <c r="G59" s="1668"/>
      <c r="H59" s="1668"/>
      <c r="I59" s="1668"/>
      <c r="J59" s="1668"/>
      <c r="K59" s="1668"/>
      <c r="L59" s="1668"/>
      <c r="M59" s="1668"/>
      <c r="N59" s="1668"/>
      <c r="O59" s="1668"/>
      <c r="P59" s="1668"/>
      <c r="Q59" s="1668"/>
      <c r="R59" s="1669"/>
      <c r="S59" s="475" t="s">
        <v>197</v>
      </c>
      <c r="T59" s="475" t="s">
        <v>197</v>
      </c>
      <c r="U59" s="475" t="s">
        <v>197</v>
      </c>
      <c r="V59" s="475" t="s">
        <v>197</v>
      </c>
      <c r="W59" s="475" t="s">
        <v>197</v>
      </c>
      <c r="X59" s="475"/>
      <c r="Y59" s="475"/>
      <c r="Z59" s="475"/>
      <c r="AA59" s="225"/>
      <c r="AB59" s="225"/>
      <c r="AC59" s="340"/>
      <c r="AD59" s="340"/>
      <c r="AE59" s="227"/>
      <c r="AF59" s="227"/>
      <c r="AG59" s="227"/>
      <c r="AH59" s="227"/>
      <c r="AI59" s="227"/>
      <c r="AJ59" s="227"/>
      <c r="AK59" s="227"/>
      <c r="AL59" s="227"/>
      <c r="AM59" s="227"/>
      <c r="AN59" s="227"/>
      <c r="AO59" s="227"/>
      <c r="AP59" s="227"/>
      <c r="AQ59" s="227"/>
      <c r="AR59" s="227"/>
      <c r="AS59" s="227"/>
      <c r="AT59" s="227"/>
      <c r="AU59" s="227"/>
      <c r="AV59" s="227"/>
      <c r="AW59" s="227"/>
      <c r="AX59" s="227"/>
      <c r="AY59" s="227"/>
      <c r="AZ59" s="227"/>
      <c r="BA59" s="227"/>
      <c r="BB59" s="227"/>
      <c r="BC59" s="227"/>
    </row>
    <row r="60" spans="1:55" ht="18" customHeight="1" thickTop="1" thickBot="1">
      <c r="A60" s="478"/>
      <c r="B60" s="478"/>
      <c r="C60" s="478" t="s">
        <v>368</v>
      </c>
      <c r="D60" s="1667"/>
      <c r="E60" s="1668" t="s">
        <v>197</v>
      </c>
      <c r="F60" s="1668"/>
      <c r="G60" s="1668" t="s">
        <v>197</v>
      </c>
      <c r="H60" s="1668" t="s">
        <v>197</v>
      </c>
      <c r="I60" s="1668" t="s">
        <v>197</v>
      </c>
      <c r="J60" s="1668"/>
      <c r="K60" s="1668" t="s">
        <v>197</v>
      </c>
      <c r="L60" s="1668" t="s">
        <v>197</v>
      </c>
      <c r="M60" s="1668" t="s">
        <v>197</v>
      </c>
      <c r="N60" s="1668" t="s">
        <v>197</v>
      </c>
      <c r="O60" s="1668" t="s">
        <v>197</v>
      </c>
      <c r="P60" s="1668" t="s">
        <v>197</v>
      </c>
      <c r="Q60" s="1668" t="s">
        <v>197</v>
      </c>
      <c r="R60" s="1669" t="s">
        <v>197</v>
      </c>
      <c r="S60" s="475" t="s">
        <v>197</v>
      </c>
      <c r="T60" s="475" t="s">
        <v>197</v>
      </c>
      <c r="U60" s="475" t="s">
        <v>197</v>
      </c>
      <c r="V60" s="475" t="s">
        <v>197</v>
      </c>
      <c r="W60" s="475" t="s">
        <v>197</v>
      </c>
      <c r="X60" s="475" t="s">
        <v>197</v>
      </c>
      <c r="Y60" s="475"/>
      <c r="Z60" s="475"/>
      <c r="AA60" s="225"/>
      <c r="AB60" s="225"/>
      <c r="AC60" s="340"/>
      <c r="AD60" s="340"/>
      <c r="AE60" s="227"/>
      <c r="AF60" s="227"/>
      <c r="AG60" s="227"/>
      <c r="AH60" s="227"/>
      <c r="AI60" s="227"/>
      <c r="AJ60" s="227"/>
      <c r="AK60" s="227"/>
      <c r="AL60" s="227"/>
      <c r="AM60" s="227"/>
      <c r="AN60" s="227"/>
      <c r="AO60" s="227"/>
      <c r="AP60" s="227"/>
      <c r="AQ60" s="227"/>
      <c r="AR60" s="227"/>
      <c r="AS60" s="227"/>
      <c r="AT60" s="227"/>
      <c r="AU60" s="227"/>
      <c r="AV60" s="227"/>
      <c r="AW60" s="227"/>
      <c r="AX60" s="227"/>
      <c r="AY60" s="227"/>
      <c r="AZ60" s="227"/>
      <c r="BA60" s="227"/>
      <c r="BB60" s="227"/>
      <c r="BC60" s="227"/>
    </row>
    <row r="61" spans="1:28" ht="13.5" customHeight="1" thickTop="1">
      <c r="A61" s="476"/>
      <c r="B61" s="476"/>
      <c r="C61" s="476"/>
      <c r="D61" s="476"/>
      <c r="E61" s="476"/>
      <c r="F61" s="476"/>
      <c r="G61" s="476"/>
      <c r="H61" s="476"/>
      <c r="I61" s="476"/>
      <c r="J61" s="476"/>
      <c r="K61" s="476"/>
      <c r="L61" s="476"/>
      <c r="M61" s="476"/>
      <c r="N61" s="476" t="s">
        <v>197</v>
      </c>
      <c r="O61" s="476"/>
      <c r="P61" s="476"/>
      <c r="Q61" s="476"/>
      <c r="R61" s="476"/>
      <c r="S61" s="476"/>
      <c r="T61" s="476"/>
      <c r="U61" s="476"/>
      <c r="V61" s="476"/>
      <c r="W61" s="476"/>
      <c r="X61" s="476"/>
      <c r="Y61" s="476"/>
      <c r="Z61" s="476"/>
      <c r="AA61" s="225"/>
      <c r="AB61" s="225"/>
    </row>
    <row r="62" spans="1:28" s="515" customFormat="1" ht="18" customHeight="1">
      <c r="A62" s="513" t="s">
        <v>219</v>
      </c>
      <c r="B62" s="514"/>
      <c r="C62" s="514"/>
      <c r="D62" s="514"/>
      <c r="E62" s="514"/>
      <c r="F62" s="514"/>
      <c r="G62" s="514"/>
      <c r="H62" s="514"/>
      <c r="I62" s="514"/>
      <c r="J62" s="514"/>
      <c r="K62" s="514"/>
      <c r="L62" s="514"/>
      <c r="M62" s="514" t="s">
        <v>197</v>
      </c>
      <c r="N62" s="514"/>
      <c r="O62" s="514"/>
      <c r="P62" s="514"/>
      <c r="Q62" s="514"/>
      <c r="R62" s="514"/>
      <c r="S62" s="514"/>
      <c r="T62" s="514"/>
      <c r="U62" s="514"/>
      <c r="V62" s="514"/>
      <c r="W62" s="514"/>
      <c r="X62" s="514"/>
      <c r="Y62" s="514"/>
      <c r="Z62" s="514"/>
      <c r="AA62" s="515"/>
      <c r="AB62" s="515"/>
    </row>
    <row r="63" spans="1:28" ht="13.5" customHeight="1">
      <c r="A63" s="483"/>
      <c r="B63" s="476"/>
      <c r="C63" s="476"/>
      <c r="D63" s="476"/>
      <c r="E63" s="476"/>
      <c r="F63" s="476"/>
      <c r="G63" s="476"/>
      <c r="H63" s="476"/>
      <c r="I63" s="476"/>
      <c r="J63" s="476"/>
      <c r="K63" s="476"/>
      <c r="L63" s="476"/>
      <c r="M63" s="476"/>
      <c r="N63" s="476"/>
      <c r="O63" s="476"/>
      <c r="P63" s="476"/>
      <c r="Q63" s="476"/>
      <c r="R63" s="476"/>
      <c r="S63" s="476"/>
      <c r="T63" s="476"/>
      <c r="U63" s="476"/>
      <c r="V63" s="476"/>
      <c r="W63" s="476"/>
      <c r="X63" s="476"/>
      <c r="Y63" s="476"/>
      <c r="Z63" s="476"/>
      <c r="AA63" s="225"/>
      <c r="AB63" s="225"/>
    </row>
    <row r="64" spans="1:28" ht="13.5" customHeight="1">
      <c r="A64" s="478">
        <v>1</v>
      </c>
      <c r="B64" s="475" t="s">
        <v>220</v>
      </c>
      <c r="C64" s="475"/>
      <c r="D64" s="475"/>
      <c r="E64" s="475"/>
      <c r="F64" s="1671" t="s">
        <v>1455</v>
      </c>
      <c r="G64" s="1672"/>
      <c r="H64" s="1672"/>
      <c r="I64" s="1672"/>
      <c r="J64" s="1673"/>
      <c r="K64" s="475"/>
      <c r="L64" s="475"/>
      <c r="M64" s="475"/>
      <c r="N64" s="475"/>
      <c r="O64" s="475"/>
      <c r="P64" s="475" t="s">
        <v>197</v>
      </c>
      <c r="Q64" s="475"/>
      <c r="R64" s="475"/>
      <c r="S64" s="475"/>
      <c r="T64" s="475"/>
      <c r="U64" s="475"/>
      <c r="V64" s="484"/>
      <c r="W64" s="475"/>
      <c r="X64" s="475"/>
      <c r="Y64" s="475"/>
      <c r="Z64" s="475"/>
      <c r="AA64" s="225"/>
      <c r="AB64" s="225"/>
    </row>
    <row r="65" spans="1:28" ht="13.5" customHeight="1">
      <c r="A65" s="478">
        <v>2</v>
      </c>
      <c r="B65" s="475" t="s">
        <v>221</v>
      </c>
      <c r="C65" s="475"/>
      <c r="D65" s="475"/>
      <c r="E65" s="475"/>
      <c r="F65" s="1671">
        <v>0</v>
      </c>
      <c r="G65" s="1672"/>
      <c r="H65" s="1672"/>
      <c r="I65" s="1672"/>
      <c r="J65" s="1673"/>
      <c r="K65" s="475"/>
      <c r="L65" s="475"/>
      <c r="M65" s="475"/>
      <c r="N65" s="475"/>
      <c r="O65" s="475"/>
      <c r="P65" s="475"/>
      <c r="Q65" s="475"/>
      <c r="R65" s="475"/>
      <c r="S65" s="475"/>
      <c r="T65" s="475"/>
      <c r="U65" s="475"/>
      <c r="V65" s="475"/>
      <c r="W65" s="475"/>
      <c r="X65" s="475"/>
      <c r="Y65" s="475"/>
      <c r="Z65" s="475"/>
      <c r="AA65" s="225"/>
      <c r="AB65" s="225"/>
    </row>
    <row r="66" spans="1:28" ht="13.5" customHeight="1">
      <c r="A66" s="478">
        <v>3</v>
      </c>
      <c r="B66" s="475" t="s">
        <v>222</v>
      </c>
      <c r="C66" s="475"/>
      <c r="D66" s="475"/>
      <c r="E66" s="475"/>
      <c r="F66" s="1631">
        <v>54000000</v>
      </c>
      <c r="G66" s="1632"/>
      <c r="H66" s="1632"/>
      <c r="I66" s="1632"/>
      <c r="J66" s="1633"/>
      <c r="K66" s="475"/>
      <c r="L66" s="475"/>
      <c r="M66" s="475"/>
      <c r="N66" s="475"/>
      <c r="O66" s="475"/>
      <c r="P66" s="475"/>
      <c r="Q66" s="475"/>
      <c r="R66" s="475"/>
      <c r="S66" s="475"/>
      <c r="T66" s="475"/>
      <c r="U66" s="475"/>
      <c r="V66" s="475"/>
      <c r="W66" s="475"/>
      <c r="X66" s="475"/>
      <c r="Y66" s="475"/>
      <c r="Z66" s="475"/>
      <c r="AA66" s="225"/>
      <c r="AB66" s="225"/>
    </row>
    <row r="67" spans="1:28" ht="13.5" customHeight="1" thickBot="1">
      <c r="A67" s="478"/>
      <c r="B67" s="475"/>
      <c r="C67" s="475"/>
      <c r="D67" s="475"/>
      <c r="E67" s="475"/>
      <c r="F67" s="475"/>
      <c r="G67" s="475"/>
      <c r="H67" s="475"/>
      <c r="I67" s="475"/>
      <c r="J67" s="475"/>
      <c r="K67" s="475"/>
      <c r="L67" s="475"/>
      <c r="M67" s="475"/>
      <c r="N67" s="475"/>
      <c r="O67" s="475"/>
      <c r="P67" s="475"/>
      <c r="Q67" s="475"/>
      <c r="R67" s="475"/>
      <c r="S67" s="475"/>
      <c r="T67" s="475"/>
      <c r="U67" s="475"/>
      <c r="V67" s="475"/>
      <c r="W67" s="475"/>
      <c r="X67" s="475"/>
      <c r="Y67" s="475"/>
      <c r="Z67" s="475"/>
      <c r="AA67" s="225"/>
      <c r="AB67" s="225"/>
    </row>
    <row r="68" spans="1:28" ht="14.25" customHeight="1" thickTop="1">
      <c r="A68" s="478"/>
      <c r="B68" s="1640" t="s">
        <v>223</v>
      </c>
      <c r="C68" s="1637" t="s">
        <v>224</v>
      </c>
      <c r="D68" s="1638"/>
      <c r="E68" s="1637" t="s">
        <v>225</v>
      </c>
      <c r="F68" s="1638"/>
      <c r="G68" s="1638"/>
      <c r="H68" s="1638"/>
      <c r="I68" s="1638"/>
      <c r="J68" s="1637" t="s">
        <v>873</v>
      </c>
      <c r="K68" s="1638"/>
      <c r="L68" s="1638"/>
      <c r="M68" s="1638"/>
      <c r="N68" s="1637" t="s">
        <v>226</v>
      </c>
      <c r="O68" s="1638"/>
      <c r="P68" s="1638"/>
      <c r="Q68" s="1638"/>
      <c r="R68" s="1674"/>
      <c r="S68" s="475"/>
      <c r="T68" s="475"/>
      <c r="U68" s="475"/>
      <c r="V68" s="475"/>
      <c r="W68" s="475"/>
      <c r="X68" s="475"/>
      <c r="Y68" s="475"/>
      <c r="Z68" s="475"/>
      <c r="AA68" s="225"/>
      <c r="AB68" s="225"/>
    </row>
    <row r="69" spans="1:28" ht="14.25" customHeight="1" thickBot="1">
      <c r="A69" s="478"/>
      <c r="B69" s="1641"/>
      <c r="C69" s="1639"/>
      <c r="D69" s="1639"/>
      <c r="E69" s="1639"/>
      <c r="F69" s="1639"/>
      <c r="G69" s="1639"/>
      <c r="H69" s="1639"/>
      <c r="I69" s="1639"/>
      <c r="J69" s="1639"/>
      <c r="K69" s="1639"/>
      <c r="L69" s="1639"/>
      <c r="M69" s="1639"/>
      <c r="N69" s="1639"/>
      <c r="O69" s="1639"/>
      <c r="P69" s="1639"/>
      <c r="Q69" s="1639"/>
      <c r="R69" s="1675"/>
      <c r="S69" s="475"/>
      <c r="T69" s="475"/>
      <c r="U69" s="475"/>
      <c r="V69" s="475"/>
      <c r="W69" s="475"/>
      <c r="X69" s="475"/>
      <c r="Y69" s="475"/>
      <c r="Z69" s="475"/>
      <c r="AA69" s="225"/>
      <c r="AB69" s="225"/>
    </row>
    <row r="70" spans="1:28" ht="14.25" customHeight="1" thickTop="1">
      <c r="A70" s="478"/>
      <c r="B70" s="485"/>
      <c r="C70" s="1600"/>
      <c r="D70" s="1630"/>
      <c r="E70" s="1600"/>
      <c r="F70" s="1601"/>
      <c r="G70" s="1601"/>
      <c r="H70" s="1601"/>
      <c r="I70" s="1630"/>
      <c r="J70" s="1600"/>
      <c r="K70" s="1601"/>
      <c r="L70" s="1601"/>
      <c r="M70" s="1630"/>
      <c r="N70" s="1600"/>
      <c r="O70" s="1601"/>
      <c r="P70" s="1601"/>
      <c r="Q70" s="1601"/>
      <c r="R70" s="1602"/>
      <c r="S70" s="475"/>
      <c r="T70" s="475"/>
      <c r="U70" s="475"/>
      <c r="V70" s="475"/>
      <c r="W70" s="475"/>
      <c r="X70" s="475"/>
      <c r="Y70" s="475"/>
      <c r="Z70" s="475"/>
      <c r="AA70" s="225"/>
      <c r="AB70" s="225"/>
    </row>
    <row r="71" spans="1:31" ht="14.25" customHeight="1">
      <c r="A71" s="478"/>
      <c r="B71" s="486">
        <v>1</v>
      </c>
      <c r="C71" s="1613"/>
      <c r="D71" s="1613"/>
      <c r="E71" s="815"/>
      <c r="F71" s="815"/>
      <c r="G71" s="815"/>
      <c r="H71" s="815"/>
      <c r="I71" s="815"/>
      <c r="J71" s="1565"/>
      <c r="K71" s="1565"/>
      <c r="L71" s="1565"/>
      <c r="M71" s="1565"/>
      <c r="N71" s="815"/>
      <c r="O71" s="815"/>
      <c r="P71" s="815"/>
      <c r="Q71" s="815"/>
      <c r="R71" s="1573"/>
      <c r="S71" s="475"/>
      <c r="T71" s="475"/>
      <c r="U71" s="475"/>
      <c r="V71" s="475"/>
      <c r="W71" s="475"/>
      <c r="X71" s="475"/>
      <c r="Y71" s="475"/>
      <c r="Z71" s="475"/>
      <c r="AA71" s="225"/>
      <c r="AB71" s="225"/>
      <c r="AD71" s="340" t="str">
        <f>IF('GENERAL INFO'!E71="","-",IF('GENERAL INFO'!E71="Wife","妻/ Wife",IF('GENERAL INFO'!E71="Child","子/ Child",IF('GENERAL INFO'!E71="Brother/sister","兄弟／姉妹/ Brother/Sister",IF('GENERAL INFO'!E71="Husband","夫/ Husband","その他/ Other")))))</f>
        <v>-</v>
      </c>
      <c r="AE71" s="340" t="str">
        <f>IF('GENERAL INFO'!N71="","-",IF('GENERAL INFO'!N71="Housewife","主婦/ Housewife",IF('GENERAL INFO'!N71="Employee","従業員/ Employee",IF('GENERAL INFO'!N71="Student","学生/Student","-"))))</f>
        <v>-</v>
      </c>
    </row>
    <row r="72" spans="1:31" ht="14.25" customHeight="1">
      <c r="A72" s="478"/>
      <c r="B72" s="486">
        <v>2</v>
      </c>
      <c r="C72" s="1613"/>
      <c r="D72" s="1613"/>
      <c r="E72" s="815"/>
      <c r="F72" s="815"/>
      <c r="G72" s="815"/>
      <c r="H72" s="815"/>
      <c r="I72" s="815"/>
      <c r="J72" s="1565"/>
      <c r="K72" s="1565"/>
      <c r="L72" s="1565"/>
      <c r="M72" s="1565"/>
      <c r="N72" s="815"/>
      <c r="O72" s="815"/>
      <c r="P72" s="815"/>
      <c r="Q72" s="815"/>
      <c r="R72" s="1573"/>
      <c r="S72" s="475"/>
      <c r="T72" s="475"/>
      <c r="U72" s="475"/>
      <c r="V72" s="475"/>
      <c r="W72" s="475"/>
      <c r="X72" s="475"/>
      <c r="Y72" s="475"/>
      <c r="Z72" s="475"/>
      <c r="AA72" s="225"/>
      <c r="AB72" s="225"/>
      <c r="AD72" s="340" t="str">
        <f>IF('GENERAL INFO'!E72="","-",IF('GENERAL INFO'!E72="Wife","妻/ Wife",IF('GENERAL INFO'!E72="Child","子/ Child",IF('GENERAL INFO'!E72="Brother/sister","兄弟／姉妹/ Brother/Sister",IF('GENERAL INFO'!E72="Husband","夫/ Husband","その他/ Other")))))</f>
        <v>-</v>
      </c>
      <c r="AE72" s="340" t="str">
        <f>IF('GENERAL INFO'!N72="","-",IF('GENERAL INFO'!N72="Housewife","主婦/ Housewife",IF('GENERAL INFO'!N72="Employee","従業員/ Employee",IF('GENERAL INFO'!N72="Student","学生/Student","-"))))</f>
        <v>-</v>
      </c>
    </row>
    <row r="73" spans="1:31" ht="14.25" customHeight="1">
      <c r="A73" s="478"/>
      <c r="B73" s="486">
        <v>3</v>
      </c>
      <c r="C73" s="1613"/>
      <c r="D73" s="1613"/>
      <c r="E73" s="815"/>
      <c r="F73" s="815"/>
      <c r="G73" s="815"/>
      <c r="H73" s="815"/>
      <c r="I73" s="815"/>
      <c r="J73" s="1565"/>
      <c r="K73" s="1565"/>
      <c r="L73" s="1565"/>
      <c r="M73" s="1565"/>
      <c r="N73" s="815"/>
      <c r="O73" s="815"/>
      <c r="P73" s="815"/>
      <c r="Q73" s="815"/>
      <c r="R73" s="1573"/>
      <c r="S73" s="475"/>
      <c r="T73" s="475"/>
      <c r="U73" s="475"/>
      <c r="V73" s="475"/>
      <c r="W73" s="475"/>
      <c r="X73" s="475"/>
      <c r="Y73" s="475"/>
      <c r="Z73" s="475"/>
      <c r="AA73" s="225"/>
      <c r="AB73" s="225"/>
      <c r="AD73" s="340" t="str">
        <f>IF('GENERAL INFO'!E73="","-",IF('GENERAL INFO'!E73="Wife","妻/ Wife",IF('GENERAL INFO'!E73="Child","子/ Child",IF('GENERAL INFO'!E73="Brother/sister","兄弟／姉妹/ Brother/Sister",IF('GENERAL INFO'!E73="Husband","夫/ Husband","その他/ Other")))))</f>
        <v>-</v>
      </c>
      <c r="AE73" s="340" t="str">
        <f>IF('GENERAL INFO'!N73="","-",IF('GENERAL INFO'!N73="Housewife","主婦/ Housewife",IF('GENERAL INFO'!N73="Employee","従業員/ Employee",IF('GENERAL INFO'!N73="Student","学生/Student","-"))))</f>
        <v>-</v>
      </c>
    </row>
    <row r="74" spans="1:31" ht="14.25" customHeight="1">
      <c r="A74" s="478"/>
      <c r="B74" s="486">
        <v>4</v>
      </c>
      <c r="C74" s="1613"/>
      <c r="D74" s="1613"/>
      <c r="E74" s="815"/>
      <c r="F74" s="815"/>
      <c r="G74" s="815"/>
      <c r="H74" s="815"/>
      <c r="I74" s="815"/>
      <c r="J74" s="1565"/>
      <c r="K74" s="1565"/>
      <c r="L74" s="1565"/>
      <c r="M74" s="1565"/>
      <c r="N74" s="815"/>
      <c r="O74" s="815"/>
      <c r="P74" s="815"/>
      <c r="Q74" s="815"/>
      <c r="R74" s="1573"/>
      <c r="S74" s="475"/>
      <c r="T74" s="475"/>
      <c r="U74" s="475"/>
      <c r="V74" s="475"/>
      <c r="W74" s="475"/>
      <c r="X74" s="475"/>
      <c r="Y74" s="475"/>
      <c r="Z74" s="475"/>
      <c r="AA74" s="225"/>
      <c r="AB74" s="225"/>
      <c r="AD74" s="340" t="str">
        <f>IF('GENERAL INFO'!E74="","-",IF('GENERAL INFO'!E74="Wife","妻/ Wife",IF('GENERAL INFO'!E74="Child","子/ Child",IF('GENERAL INFO'!E74="Brother/sister","兄弟／姉妹/ Brother/Sister",IF('GENERAL INFO'!E74="Husband","夫/ Husband","その他/ Other")))))</f>
        <v>-</v>
      </c>
      <c r="AE74" s="340" t="str">
        <f>IF('GENERAL INFO'!N74="","-",IF('GENERAL INFO'!N74="Housewife","主婦/ Housewife",IF('GENERAL INFO'!N74="Employee","従業員/ Employee",IF('GENERAL INFO'!N74="Student","学生/Student","-"))))</f>
        <v>-</v>
      </c>
    </row>
    <row r="75" spans="1:31" ht="14.25" customHeight="1">
      <c r="A75" s="478"/>
      <c r="B75" s="486">
        <v>5</v>
      </c>
      <c r="C75" s="1613"/>
      <c r="D75" s="1613"/>
      <c r="E75" s="815"/>
      <c r="F75" s="815"/>
      <c r="G75" s="815"/>
      <c r="H75" s="815"/>
      <c r="I75" s="815"/>
      <c r="J75" s="1565"/>
      <c r="K75" s="1565"/>
      <c r="L75" s="1565"/>
      <c r="M75" s="1565"/>
      <c r="N75" s="815"/>
      <c r="O75" s="815"/>
      <c r="P75" s="815"/>
      <c r="Q75" s="815"/>
      <c r="R75" s="1573"/>
      <c r="S75" s="475"/>
      <c r="T75" s="475"/>
      <c r="U75" s="475"/>
      <c r="V75" s="475"/>
      <c r="W75" s="475"/>
      <c r="X75" s="475"/>
      <c r="Y75" s="475"/>
      <c r="Z75" s="475"/>
      <c r="AA75" s="225"/>
      <c r="AB75" s="225"/>
      <c r="AD75" s="340" t="str">
        <f>IF('GENERAL INFO'!E75="","-",IF('GENERAL INFO'!E75="Wife","妻/ Wife",IF('GENERAL INFO'!E75="Child","子/ Child",IF('GENERAL INFO'!E75="Brother/sister","兄弟／姉妹/ Brother/Sister",IF('GENERAL INFO'!E75="Husband","夫/ Husband","その他/ Other")))))</f>
        <v>-</v>
      </c>
      <c r="AE75" s="340" t="str">
        <f>IF('GENERAL INFO'!N75="","-",IF('GENERAL INFO'!N75="Housewife","主婦/ Housewife",IF('GENERAL INFO'!N75="Employee","従業員/ Employee",IF('GENERAL INFO'!N75="Student","学生/Student","-"))))</f>
        <v>-</v>
      </c>
    </row>
    <row r="76" spans="1:28" ht="14.25" customHeight="1" thickBot="1">
      <c r="A76" s="478"/>
      <c r="B76" s="487"/>
      <c r="C76" s="1614"/>
      <c r="D76" s="1615"/>
      <c r="E76" s="1566"/>
      <c r="F76" s="1567"/>
      <c r="G76" s="1567"/>
      <c r="H76" s="1567"/>
      <c r="I76" s="1567"/>
      <c r="J76" s="1566"/>
      <c r="K76" s="1567"/>
      <c r="L76" s="1567"/>
      <c r="M76" s="1567"/>
      <c r="N76" s="1566"/>
      <c r="O76" s="1567"/>
      <c r="P76" s="1567"/>
      <c r="Q76" s="1567"/>
      <c r="R76" s="1623"/>
      <c r="S76" s="475"/>
      <c r="T76" s="475"/>
      <c r="U76" s="475"/>
      <c r="V76" s="475"/>
      <c r="W76" s="475"/>
      <c r="X76" s="475"/>
      <c r="Y76" s="475"/>
      <c r="Z76" s="475"/>
      <c r="AA76" s="225"/>
      <c r="AB76" s="225"/>
    </row>
    <row r="77" spans="1:35" ht="13.5" customHeight="1" thickTop="1">
      <c r="A77" s="478"/>
      <c r="B77" s="475"/>
      <c r="C77" s="475"/>
      <c r="D77" s="475"/>
      <c r="E77" s="475"/>
      <c r="F77" s="475"/>
      <c r="G77" s="475"/>
      <c r="H77" s="475"/>
      <c r="I77" s="475"/>
      <c r="J77" s="475"/>
      <c r="K77" s="475"/>
      <c r="L77" s="475"/>
      <c r="M77" s="475"/>
      <c r="N77" s="475"/>
      <c r="O77" s="475"/>
      <c r="P77" s="475"/>
      <c r="Q77" s="475"/>
      <c r="R77" s="475"/>
      <c r="S77" s="475"/>
      <c r="T77" s="475"/>
      <c r="U77" s="475"/>
      <c r="V77" s="475"/>
      <c r="W77" s="475"/>
      <c r="X77" s="475"/>
      <c r="Y77" s="475"/>
      <c r="Z77" s="475"/>
      <c r="AA77" s="225"/>
      <c r="AB77" s="225"/>
      <c r="AC77" s="340"/>
      <c r="AD77" s="340"/>
      <c r="AE77" s="340"/>
      <c r="AF77" s="340"/>
      <c r="AG77" s="340"/>
      <c r="AH77" s="340"/>
      <c r="AI77" s="340"/>
    </row>
    <row r="78" spans="1:35" s="515" customFormat="1" ht="18" customHeight="1">
      <c r="A78" s="516" t="s">
        <v>295</v>
      </c>
      <c r="B78" s="517"/>
      <c r="C78" s="517"/>
      <c r="D78" s="517"/>
      <c r="E78" s="517"/>
      <c r="F78" s="517"/>
      <c r="G78" s="517"/>
      <c r="H78" s="517"/>
      <c r="I78" s="517"/>
      <c r="J78" s="517"/>
      <c r="K78" s="517"/>
      <c r="L78" s="517"/>
      <c r="M78" s="517"/>
      <c r="N78" s="517"/>
      <c r="O78" s="517"/>
      <c r="P78" s="517"/>
      <c r="Q78" s="517"/>
      <c r="R78" s="517"/>
      <c r="S78" s="517"/>
      <c r="T78" s="517"/>
      <c r="U78" s="517"/>
      <c r="V78" s="517"/>
      <c r="W78" s="517"/>
      <c r="X78" s="517"/>
      <c r="Y78" s="517"/>
      <c r="Z78" s="517"/>
      <c r="AA78" s="515"/>
      <c r="AB78" s="515"/>
      <c r="AC78" s="515"/>
      <c r="AD78" s="515"/>
      <c r="AE78" s="515"/>
      <c r="AF78" s="515"/>
      <c r="AG78" s="515"/>
      <c r="AH78" s="515"/>
      <c r="AI78" s="515"/>
    </row>
    <row r="79" spans="1:35" s="340" customFormat="1" ht="13.5" customHeight="1">
      <c r="A79" s="488"/>
      <c r="B79" s="489"/>
      <c r="C79" s="489"/>
      <c r="D79" s="489"/>
      <c r="E79" s="489"/>
      <c r="F79" s="489"/>
      <c r="G79" s="489"/>
      <c r="H79" s="489"/>
      <c r="I79" s="489"/>
      <c r="J79" s="489"/>
      <c r="K79" s="489"/>
      <c r="L79" s="489"/>
      <c r="M79" s="489"/>
      <c r="N79" s="489"/>
      <c r="O79" s="489"/>
      <c r="P79" s="489"/>
      <c r="Q79" s="489"/>
      <c r="R79" s="489"/>
      <c r="S79" s="489"/>
      <c r="T79" s="489"/>
      <c r="U79" s="489"/>
      <c r="V79" s="489"/>
      <c r="W79" s="489"/>
      <c r="X79" s="489"/>
      <c r="Y79" s="489"/>
      <c r="Z79" s="489"/>
      <c r="AA79" s="225"/>
      <c r="AB79" s="225"/>
      <c r="AC79" s="340"/>
      <c r="AD79" s="340"/>
      <c r="AE79" s="340"/>
      <c r="AF79" s="340"/>
      <c r="AG79" s="340"/>
      <c r="AH79" s="340"/>
      <c r="AI79" s="340"/>
    </row>
    <row r="80" spans="1:35" ht="13.5" customHeight="1">
      <c r="A80" s="490">
        <v>1</v>
      </c>
      <c r="B80" s="482" t="s">
        <v>296</v>
      </c>
      <c r="C80" s="482"/>
      <c r="D80" s="482"/>
      <c r="E80" s="482"/>
      <c r="F80" s="482"/>
      <c r="G80" s="482"/>
      <c r="H80" s="482"/>
      <c r="I80" s="482"/>
      <c r="J80" s="482"/>
      <c r="K80" s="482"/>
      <c r="L80" s="482"/>
      <c r="M80" s="482"/>
      <c r="N80" s="482"/>
      <c r="O80" s="482"/>
      <c r="P80" s="482"/>
      <c r="Q80" s="482"/>
      <c r="R80" s="482"/>
      <c r="S80" s="482"/>
      <c r="T80" s="482"/>
      <c r="U80" s="482"/>
      <c r="V80" s="482"/>
      <c r="W80" s="482"/>
      <c r="X80" s="482"/>
      <c r="Y80" s="482"/>
      <c r="Z80" s="482"/>
      <c r="AA80" s="340"/>
      <c r="AB80" s="340"/>
      <c r="AC80" s="340"/>
      <c r="AD80" s="340"/>
      <c r="AE80" s="340"/>
      <c r="AF80" s="340"/>
      <c r="AG80" s="340"/>
      <c r="AH80" s="340"/>
      <c r="AI80" s="340"/>
    </row>
    <row r="81" spans="1:35" s="340" customFormat="1" ht="13.5" customHeight="1" thickBot="1">
      <c r="A81" s="490"/>
      <c r="B81" s="482"/>
      <c r="C81" s="482"/>
      <c r="D81" s="482"/>
      <c r="E81" s="482"/>
      <c r="F81" s="482"/>
      <c r="G81" s="482"/>
      <c r="H81" s="482"/>
      <c r="I81" s="482"/>
      <c r="J81" s="482"/>
      <c r="K81" s="482"/>
      <c r="L81" s="482"/>
      <c r="M81" s="482"/>
      <c r="N81" s="482"/>
      <c r="O81" s="482"/>
      <c r="P81" s="482"/>
      <c r="Q81" s="482"/>
      <c r="R81" s="482"/>
      <c r="S81" s="482"/>
      <c r="T81" s="482"/>
      <c r="U81" s="482"/>
      <c r="V81" s="482"/>
      <c r="W81" s="482"/>
      <c r="X81" s="482"/>
      <c r="Y81" s="482"/>
      <c r="Z81" s="482"/>
      <c r="AC81" s="1670"/>
      <c r="AD81" s="1670"/>
      <c r="AE81" s="1670"/>
      <c r="AF81" s="1670"/>
      <c r="AG81" s="340"/>
      <c r="AH81" s="340"/>
      <c r="AI81" s="340"/>
    </row>
    <row r="82" spans="1:28" ht="33.75" customHeight="1" thickTop="1" thickBot="1">
      <c r="A82" s="491"/>
      <c r="B82" s="1610" t="s">
        <v>297</v>
      </c>
      <c r="C82" s="1628"/>
      <c r="D82" s="1629" t="s">
        <v>298</v>
      </c>
      <c r="E82" s="1611"/>
      <c r="F82" s="1611"/>
      <c r="G82" s="1628"/>
      <c r="H82" s="1603" t="s">
        <v>299</v>
      </c>
      <c r="I82" s="1604"/>
      <c r="J82" s="1604"/>
      <c r="K82" s="1604"/>
      <c r="L82" s="1603" t="s">
        <v>300</v>
      </c>
      <c r="M82" s="1604"/>
      <c r="N82" s="1604"/>
      <c r="O82" s="1605"/>
      <c r="P82" s="482"/>
      <c r="Q82" s="482"/>
      <c r="R82" s="482"/>
      <c r="S82" s="482"/>
      <c r="T82" s="482"/>
      <c r="U82" s="482"/>
      <c r="V82" s="482"/>
      <c r="W82" s="482"/>
      <c r="X82" s="482"/>
      <c r="Y82" s="482"/>
      <c r="Z82" s="482"/>
      <c r="AA82" s="340"/>
      <c r="AB82" s="340"/>
    </row>
    <row r="83" spans="1:28" ht="13.5" customHeight="1" thickTop="1">
      <c r="A83" s="490"/>
      <c r="B83" s="1676"/>
      <c r="C83" s="1677"/>
      <c r="D83" s="492"/>
      <c r="E83" s="493"/>
      <c r="F83" s="493"/>
      <c r="G83" s="494"/>
      <c r="H83" s="1678"/>
      <c r="I83" s="1679"/>
      <c r="J83" s="1679"/>
      <c r="K83" s="1679"/>
      <c r="L83" s="1678"/>
      <c r="M83" s="1679"/>
      <c r="N83" s="1679"/>
      <c r="O83" s="1680"/>
      <c r="P83" s="482"/>
      <c r="Q83" s="482"/>
      <c r="R83" s="482"/>
      <c r="S83" s="482"/>
      <c r="T83" s="482"/>
      <c r="U83" s="482"/>
      <c r="V83" s="482"/>
      <c r="W83" s="482"/>
      <c r="X83" s="482"/>
      <c r="Y83" s="482"/>
      <c r="Z83" s="482"/>
      <c r="AA83" s="340"/>
      <c r="AB83" s="340"/>
    </row>
    <row r="84" spans="1:26" s="340" customFormat="1" customHeight="1">
      <c r="A84" s="490"/>
      <c r="B84" s="1648" t="s">
        <v>301</v>
      </c>
      <c r="C84" s="1649"/>
      <c r="D84" s="1575">
        <v>36551283</v>
      </c>
      <c r="E84" s="1576"/>
      <c r="F84" s="1576"/>
      <c r="G84" s="1577"/>
      <c r="H84" s="1553">
        <v>36551283</v>
      </c>
      <c r="I84" s="1554"/>
      <c r="J84" s="1554"/>
      <c r="K84" s="1555"/>
      <c r="L84" s="1556" t="s">
        <v>30</v>
      </c>
      <c r="M84" s="1556"/>
      <c r="N84" s="1556"/>
      <c r="O84" s="1557"/>
      <c r="P84" s="482"/>
      <c r="Q84" s="482"/>
      <c r="R84" s="482"/>
      <c r="S84" s="482"/>
      <c r="T84" s="482"/>
      <c r="U84" s="482"/>
      <c r="V84" s="482"/>
      <c r="W84" s="482"/>
      <c r="X84" s="482"/>
      <c r="Y84" s="482"/>
      <c r="Z84" s="482"/>
    </row>
    <row r="85" spans="1:28" customHeight="1">
      <c r="A85" s="490"/>
      <c r="B85" s="1648" t="s">
        <v>302</v>
      </c>
      <c r="C85" s="1649"/>
      <c r="D85" s="1575">
        <v>36551283</v>
      </c>
      <c r="E85" s="1576"/>
      <c r="F85" s="1576"/>
      <c r="G85" s="1577"/>
      <c r="H85" s="1553">
        <v>36551283</v>
      </c>
      <c r="I85" s="1554"/>
      <c r="J85" s="1554"/>
      <c r="K85" s="1555"/>
      <c r="L85" s="1556" t="s">
        <v>30</v>
      </c>
      <c r="M85" s="1556"/>
      <c r="N85" s="1556"/>
      <c r="O85" s="1557"/>
      <c r="P85" s="482"/>
      <c r="Q85" s="482"/>
      <c r="R85" s="482"/>
      <c r="S85" s="482"/>
      <c r="T85" s="482"/>
      <c r="U85" s="482"/>
      <c r="V85" s="482"/>
      <c r="W85" s="482"/>
      <c r="X85" s="482"/>
      <c r="Y85" s="482"/>
      <c r="Z85" s="482"/>
      <c r="AA85" s="340"/>
      <c r="AB85" s="340"/>
    </row>
    <row r="86" spans="1:26" s="340" customFormat="1" customHeight="1">
      <c r="A86" s="490"/>
      <c r="B86" s="1648" t="s">
        <v>303</v>
      </c>
      <c r="C86" s="1649"/>
      <c r="D86" s="1575">
        <v>41789242</v>
      </c>
      <c r="E86" s="1576"/>
      <c r="F86" s="1576"/>
      <c r="G86" s="1577"/>
      <c r="H86" s="1553">
        <v>41789242</v>
      </c>
      <c r="I86" s="1554"/>
      <c r="J86" s="1554"/>
      <c r="K86" s="1555"/>
      <c r="L86" s="1556" t="s">
        <v>30</v>
      </c>
      <c r="M86" s="1556"/>
      <c r="N86" s="1556"/>
      <c r="O86" s="1557"/>
      <c r="P86" s="482"/>
      <c r="Q86" s="482"/>
      <c r="R86" s="482"/>
      <c r="S86" s="482"/>
      <c r="T86" s="482"/>
      <c r="U86" s="482"/>
      <c r="V86" s="482"/>
      <c r="W86" s="482"/>
      <c r="X86" s="482"/>
      <c r="Y86" s="482"/>
      <c r="Z86" s="482"/>
    </row>
    <row r="87" spans="1:26" s="340" customFormat="1" customHeight="1">
      <c r="A87" s="490"/>
      <c r="B87" s="1648" t="s">
        <v>304</v>
      </c>
      <c r="C87" s="1649"/>
      <c r="D87" s="1575">
        <v>41789242</v>
      </c>
      <c r="E87" s="1576"/>
      <c r="F87" s="1576"/>
      <c r="G87" s="1577"/>
      <c r="H87" s="1553">
        <v>41789242</v>
      </c>
      <c r="I87" s="1554"/>
      <c r="J87" s="1554"/>
      <c r="K87" s="1555"/>
      <c r="L87" s="1556" t="s">
        <v>30</v>
      </c>
      <c r="M87" s="1556"/>
      <c r="N87" s="1556"/>
      <c r="O87" s="1557"/>
      <c r="P87" s="482"/>
      <c r="Q87" s="482"/>
      <c r="R87" s="482"/>
      <c r="S87" s="482"/>
      <c r="T87" s="482"/>
      <c r="U87" s="482"/>
      <c r="V87" s="482"/>
      <c r="W87" s="482"/>
      <c r="X87" s="482"/>
      <c r="Y87" s="482"/>
      <c r="Z87" s="482"/>
    </row>
    <row r="88" spans="1:26" s="340" customFormat="1" customHeight="1">
      <c r="A88" s="490"/>
      <c r="B88" s="1648" t="s">
        <v>305</v>
      </c>
      <c r="C88" s="1649"/>
      <c r="D88" s="1575">
        <v>41789242</v>
      </c>
      <c r="E88" s="1576"/>
      <c r="F88" s="1576"/>
      <c r="G88" s="1577"/>
      <c r="H88" s="1553">
        <v>41789242</v>
      </c>
      <c r="I88" s="1554"/>
      <c r="J88" s="1554"/>
      <c r="K88" s="1555"/>
      <c r="L88" s="1556" t="s">
        <v>30</v>
      </c>
      <c r="M88" s="1556"/>
      <c r="N88" s="1556"/>
      <c r="O88" s="1557"/>
      <c r="P88" s="482"/>
      <c r="Q88" s="482"/>
      <c r="R88" s="482"/>
      <c r="S88" s="482"/>
      <c r="T88" s="482"/>
      <c r="U88" s="482"/>
      <c r="V88" s="482"/>
      <c r="W88" s="482"/>
      <c r="X88" s="482"/>
      <c r="Y88" s="482"/>
      <c r="Z88" s="482"/>
    </row>
    <row r="89" spans="1:26" s="340" customFormat="1" customHeight="1">
      <c r="A89" s="490"/>
      <c r="B89" s="1648" t="s">
        <v>306</v>
      </c>
      <c r="C89" s="1649"/>
      <c r="D89" s="1575">
        <v>41789242</v>
      </c>
      <c r="E89" s="1576"/>
      <c r="F89" s="1576"/>
      <c r="G89" s="1577"/>
      <c r="H89" s="1553">
        <v>41789242</v>
      </c>
      <c r="I89" s="1554"/>
      <c r="J89" s="1554"/>
      <c r="K89" s="1555"/>
      <c r="L89" s="1556" t="s">
        <v>30</v>
      </c>
      <c r="M89" s="1556"/>
      <c r="N89" s="1556"/>
      <c r="O89" s="1557"/>
      <c r="P89" s="482"/>
      <c r="Q89" s="482"/>
      <c r="R89" s="482"/>
      <c r="S89" s="482"/>
      <c r="T89" s="482"/>
      <c r="U89" s="482"/>
      <c r="V89" s="482"/>
      <c r="W89" s="482"/>
      <c r="X89" s="482"/>
      <c r="Y89" s="482"/>
      <c r="Z89" s="482"/>
    </row>
    <row r="90" spans="1:26" s="340" customFormat="1" customHeight="1">
      <c r="A90" s="490"/>
      <c r="B90" s="1648" t="s">
        <v>307</v>
      </c>
      <c r="C90" s="1649"/>
      <c r="D90" s="1575"/>
      <c r="E90" s="1576"/>
      <c r="F90" s="1576"/>
      <c r="G90" s="1577"/>
      <c r="H90" s="1553"/>
      <c r="I90" s="1554"/>
      <c r="J90" s="1554"/>
      <c r="K90" s="1555"/>
      <c r="L90" s="1556" t="s">
        <v>30</v>
      </c>
      <c r="M90" s="1556"/>
      <c r="N90" s="1556"/>
      <c r="O90" s="1557"/>
      <c r="P90" s="482"/>
      <c r="Q90" s="482"/>
      <c r="R90" s="482"/>
      <c r="S90" s="482"/>
      <c r="T90" s="482"/>
      <c r="U90" s="482"/>
      <c r="V90" s="482"/>
      <c r="W90" s="482"/>
      <c r="X90" s="482"/>
      <c r="Y90" s="482"/>
      <c r="Z90" s="482"/>
    </row>
    <row r="91" spans="1:26" s="340" customFormat="1" customHeight="1">
      <c r="A91" s="490"/>
      <c r="B91" s="1648" t="s">
        <v>308</v>
      </c>
      <c r="C91" s="1649"/>
      <c r="D91" s="1575"/>
      <c r="E91" s="1576"/>
      <c r="F91" s="1576"/>
      <c r="G91" s="1577"/>
      <c r="H91" s="1553"/>
      <c r="I91" s="1554"/>
      <c r="J91" s="1554"/>
      <c r="K91" s="1555"/>
      <c r="L91" s="1556" t="s">
        <v>30</v>
      </c>
      <c r="M91" s="1556"/>
      <c r="N91" s="1556"/>
      <c r="O91" s="1557"/>
      <c r="P91" s="482"/>
      <c r="Q91" s="482"/>
      <c r="R91" s="482"/>
      <c r="S91" s="482"/>
      <c r="T91" s="482"/>
      <c r="U91" s="482"/>
      <c r="V91" s="482"/>
      <c r="W91" s="482"/>
      <c r="X91" s="482"/>
      <c r="Y91" s="482"/>
      <c r="Z91" s="482"/>
    </row>
    <row r="92" spans="1:26" s="340" customFormat="1" customHeight="1">
      <c r="A92" s="490"/>
      <c r="B92" s="1648" t="s">
        <v>309</v>
      </c>
      <c r="C92" s="1649"/>
      <c r="D92" s="1575"/>
      <c r="E92" s="1576"/>
      <c r="F92" s="1576"/>
      <c r="G92" s="1577"/>
      <c r="H92" s="1553"/>
      <c r="I92" s="1554"/>
      <c r="J92" s="1554"/>
      <c r="K92" s="1555"/>
      <c r="L92" s="1556" t="s">
        <v>30</v>
      </c>
      <c r="M92" s="1556"/>
      <c r="N92" s="1556"/>
      <c r="O92" s="1557"/>
      <c r="P92" s="482"/>
      <c r="Q92" s="482"/>
      <c r="R92" s="482"/>
      <c r="S92" s="482"/>
      <c r="T92" s="482"/>
      <c r="U92" s="482"/>
      <c r="V92" s="482"/>
      <c r="W92" s="482"/>
      <c r="X92" s="482"/>
      <c r="Y92" s="482"/>
      <c r="Z92" s="482"/>
    </row>
    <row r="93" spans="1:26" s="340" customFormat="1" customHeight="1">
      <c r="A93" s="490"/>
      <c r="B93" s="1648" t="s">
        <v>310</v>
      </c>
      <c r="C93" s="1649"/>
      <c r="D93" s="1575"/>
      <c r="E93" s="1576"/>
      <c r="F93" s="1576"/>
      <c r="G93" s="1577"/>
      <c r="H93" s="1553"/>
      <c r="I93" s="1554"/>
      <c r="J93" s="1554"/>
      <c r="K93" s="1555"/>
      <c r="L93" s="1556" t="s">
        <v>30</v>
      </c>
      <c r="M93" s="1556"/>
      <c r="N93" s="1556"/>
      <c r="O93" s="1557"/>
      <c r="P93" s="482"/>
      <c r="Q93" s="482"/>
      <c r="R93" s="482"/>
      <c r="S93" s="482"/>
      <c r="T93" s="482"/>
      <c r="U93" s="482"/>
      <c r="V93" s="482"/>
      <c r="W93" s="482"/>
      <c r="X93" s="482"/>
      <c r="Y93" s="482"/>
      <c r="Z93" s="482"/>
    </row>
    <row r="94" spans="1:26" s="340" customFormat="1" customHeight="1">
      <c r="A94" s="490"/>
      <c r="B94" s="1648" t="s">
        <v>311</v>
      </c>
      <c r="C94" s="1649"/>
      <c r="D94" s="1575"/>
      <c r="E94" s="1576"/>
      <c r="F94" s="1576"/>
      <c r="G94" s="1577"/>
      <c r="H94" s="1553"/>
      <c r="I94" s="1554"/>
      <c r="J94" s="1554"/>
      <c r="K94" s="1555"/>
      <c r="L94" s="1556" t="s">
        <v>30</v>
      </c>
      <c r="M94" s="1556"/>
      <c r="N94" s="1556"/>
      <c r="O94" s="1557"/>
      <c r="P94" s="482"/>
      <c r="Q94" s="482"/>
      <c r="R94" s="482"/>
      <c r="S94" s="482"/>
      <c r="T94" s="482"/>
      <c r="U94" s="482"/>
      <c r="V94" s="482"/>
      <c r="W94" s="482"/>
      <c r="X94" s="482"/>
      <c r="Y94" s="482"/>
      <c r="Z94" s="482"/>
    </row>
    <row r="95" spans="1:26" s="340" customFormat="1" customHeight="1">
      <c r="A95" s="490"/>
      <c r="B95" s="1648" t="s">
        <v>312</v>
      </c>
      <c r="C95" s="1649"/>
      <c r="D95" s="1575"/>
      <c r="E95" s="1576"/>
      <c r="F95" s="1576"/>
      <c r="G95" s="1577"/>
      <c r="H95" s="1553"/>
      <c r="I95" s="1554"/>
      <c r="J95" s="1554"/>
      <c r="K95" s="1555"/>
      <c r="L95" s="1556" t="s">
        <v>30</v>
      </c>
      <c r="M95" s="1556"/>
      <c r="N95" s="1556"/>
      <c r="O95" s="1557"/>
      <c r="P95" s="482"/>
      <c r="Q95" s="482"/>
      <c r="R95" s="482"/>
      <c r="S95" s="482"/>
      <c r="T95" s="482"/>
      <c r="U95" s="482"/>
      <c r="V95" s="482"/>
      <c r="W95" s="482"/>
      <c r="X95" s="482"/>
      <c r="Y95" s="482"/>
      <c r="Z95" s="482"/>
    </row>
    <row r="96" spans="1:26" s="340" customFormat="1" customHeight="1" thickBot="1">
      <c r="A96" s="490"/>
      <c r="B96" s="1685"/>
      <c r="C96" s="1686"/>
      <c r="D96" s="495"/>
      <c r="E96" s="496"/>
      <c r="F96" s="496"/>
      <c r="G96" s="497"/>
      <c r="H96" s="1581"/>
      <c r="I96" s="1582"/>
      <c r="J96" s="1582"/>
      <c r="K96" s="1582"/>
      <c r="L96" s="1581"/>
      <c r="M96" s="1582"/>
      <c r="N96" s="1582"/>
      <c r="O96" s="1650"/>
      <c r="P96" s="482"/>
      <c r="Q96" s="482"/>
      <c r="R96" s="482"/>
      <c r="S96" s="482"/>
      <c r="T96" s="482"/>
      <c r="U96" s="482"/>
      <c r="V96" s="482"/>
      <c r="W96" s="482"/>
      <c r="X96" s="482"/>
      <c r="Y96" s="482"/>
      <c r="Z96" s="482"/>
    </row>
    <row r="97" spans="1:35" s="340" customFormat="1" ht="26.25" customHeight="1" thickTop="1" thickBot="1">
      <c r="A97" s="490"/>
      <c r="B97" s="482"/>
      <c r="C97" s="482"/>
      <c r="D97" s="482"/>
      <c r="E97" s="482"/>
      <c r="F97" s="482"/>
      <c r="G97" s="482"/>
      <c r="H97" s="482"/>
      <c r="I97" s="482"/>
      <c r="J97" s="482"/>
      <c r="K97" s="482"/>
      <c r="L97" s="482"/>
      <c r="M97" s="482"/>
      <c r="N97" s="482"/>
      <c r="O97" s="482"/>
      <c r="P97" s="482"/>
      <c r="Q97" s="498"/>
      <c r="R97" s="498"/>
      <c r="S97" s="498"/>
      <c r="T97" s="498"/>
      <c r="U97" s="498"/>
      <c r="V97" s="498"/>
      <c r="W97" s="498"/>
      <c r="X97" s="498"/>
      <c r="Y97" s="482"/>
      <c r="Z97" s="482"/>
      <c r="AA97" s="228"/>
      <c r="AB97" s="228"/>
      <c r="AC97" s="225"/>
      <c r="AH97" s="230"/>
      <c r="AI97" s="340"/>
    </row>
    <row r="98" spans="1:35" s="340" customFormat="1" ht="18" customHeight="1" thickTop="1" thickBot="1">
      <c r="A98" s="490"/>
      <c r="B98" s="499" t="s">
        <v>313</v>
      </c>
      <c r="C98" s="499"/>
      <c r="D98" s="1578">
        <f>SUM(D84:G95)</f>
        <v>0</v>
      </c>
      <c r="E98" s="1579"/>
      <c r="F98" s="1579"/>
      <c r="G98" s="1580"/>
      <c r="H98" s="1578">
        <f>SUM(H84:K95)</f>
        <v>0</v>
      </c>
      <c r="I98" s="1579"/>
      <c r="J98" s="1579"/>
      <c r="K98" s="1580"/>
      <c r="L98" s="1578">
        <f>SUM(L84:O95)</f>
        <v>0</v>
      </c>
      <c r="M98" s="1579"/>
      <c r="N98" s="1579"/>
      <c r="O98" s="1580"/>
      <c r="P98" s="482"/>
      <c r="Q98" s="498"/>
      <c r="R98" s="498"/>
      <c r="S98" s="498"/>
      <c r="T98" s="498"/>
      <c r="U98" s="498"/>
      <c r="V98" s="498"/>
      <c r="W98" s="498"/>
      <c r="X98" s="498"/>
      <c r="Y98" s="482"/>
      <c r="Z98" s="482"/>
      <c r="AA98" s="228"/>
      <c r="AB98" s="228"/>
      <c r="AC98" s="225"/>
      <c r="AH98" s="230"/>
      <c r="AI98" s="340"/>
    </row>
    <row r="99" spans="1:35" s="340" customFormat="1" ht="18" customHeight="1" thickTop="1" thickBot="1">
      <c r="A99" s="490"/>
      <c r="B99" s="499" t="s">
        <v>373</v>
      </c>
      <c r="C99" s="499"/>
      <c r="D99" s="1578">
        <f>PPH25TOTAL+PPh25exSTP</f>
        <v>0</v>
      </c>
      <c r="E99" s="1579"/>
      <c r="F99" s="1579"/>
      <c r="G99" s="1580"/>
      <c r="H99" s="1659">
        <v>240259534</v>
      </c>
      <c r="I99" s="1660"/>
      <c r="J99" s="1660"/>
      <c r="K99" s="1661"/>
      <c r="L99" s="1659">
        <v>0</v>
      </c>
      <c r="M99" s="1660"/>
      <c r="N99" s="1660"/>
      <c r="O99" s="1661"/>
      <c r="P99" s="482"/>
      <c r="Q99" s="498"/>
      <c r="R99" s="498"/>
      <c r="S99" s="498"/>
      <c r="T99" s="498"/>
      <c r="U99" s="498"/>
      <c r="V99" s="498"/>
      <c r="W99" s="498"/>
      <c r="X99" s="498"/>
      <c r="Y99" s="482"/>
      <c r="Z99" s="482"/>
      <c r="AA99" s="228"/>
      <c r="AB99" s="228"/>
      <c r="AC99" s="225"/>
      <c r="AH99" s="230"/>
      <c r="AI99" s="340"/>
    </row>
    <row r="100" spans="1:35" s="340" customFormat="1" ht="18" customHeight="1" thickTop="1" thickBot="1">
      <c r="A100" s="490"/>
      <c r="B100" s="482" t="s">
        <v>376</v>
      </c>
      <c r="C100" s="482"/>
      <c r="D100" s="482"/>
      <c r="E100" s="482"/>
      <c r="F100" s="482"/>
      <c r="G100" s="482"/>
      <c r="H100" s="482"/>
      <c r="I100" s="482"/>
      <c r="J100" s="482"/>
      <c r="K100" s="482"/>
      <c r="L100" s="482"/>
      <c r="M100" s="482"/>
      <c r="N100" s="482"/>
      <c r="O100" s="482"/>
      <c r="P100" s="482"/>
      <c r="Q100" s="482"/>
      <c r="R100" s="482"/>
      <c r="S100" s="482"/>
      <c r="T100" s="482"/>
      <c r="U100" s="482"/>
      <c r="V100" s="482"/>
      <c r="W100" s="482"/>
      <c r="X100" s="482"/>
      <c r="Y100" s="482"/>
      <c r="Z100" s="482"/>
      <c r="AA100" s="228"/>
      <c r="AB100" s="228"/>
      <c r="AC100" s="225"/>
      <c r="AH100" s="230"/>
      <c r="AI100" s="340"/>
    </row>
    <row r="101" spans="1:35" s="340" customFormat="1" ht="18" customHeight="1" thickTop="1" thickBot="1">
      <c r="A101" s="490">
        <v>2</v>
      </c>
      <c r="B101" s="482" t="s">
        <v>240</v>
      </c>
      <c r="C101" s="482"/>
      <c r="D101" s="482"/>
      <c r="E101" s="482"/>
      <c r="F101" s="482"/>
      <c r="G101" s="482"/>
      <c r="H101" s="482"/>
      <c r="I101" s="482"/>
      <c r="J101" s="482"/>
      <c r="K101" s="1682">
        <v>0</v>
      </c>
      <c r="L101" s="1683"/>
      <c r="M101" s="1683"/>
      <c r="N101" s="1683"/>
      <c r="O101" s="1683"/>
      <c r="P101" s="1684"/>
      <c r="Q101" s="482"/>
      <c r="R101" s="482"/>
      <c r="S101" s="482"/>
      <c r="T101" s="482"/>
      <c r="U101" s="482"/>
      <c r="V101" s="482"/>
      <c r="W101" s="482"/>
      <c r="X101" s="482"/>
      <c r="Y101" s="482"/>
      <c r="Z101" s="482"/>
      <c r="AA101" s="228"/>
      <c r="AB101" s="228"/>
      <c r="AC101" s="225"/>
      <c r="AH101" s="230"/>
      <c r="AI101" s="340"/>
    </row>
    <row r="102" spans="1:32" s="340" customFormat="1" ht="18" customHeight="1" thickTop="1" thickBot="1">
      <c r="A102" s="490">
        <v>3</v>
      </c>
      <c r="B102" s="482" t="s">
        <v>314</v>
      </c>
      <c r="C102" s="482"/>
      <c r="D102" s="482"/>
      <c r="E102" s="482"/>
      <c r="F102" s="482"/>
      <c r="G102" s="482"/>
      <c r="H102" s="482"/>
      <c r="I102" s="482"/>
      <c r="J102" s="482"/>
      <c r="K102" s="1682">
        <v>0</v>
      </c>
      <c r="L102" s="1683"/>
      <c r="M102" s="1683"/>
      <c r="N102" s="1683"/>
      <c r="O102" s="1683"/>
      <c r="P102" s="1684"/>
      <c r="Q102" s="482"/>
      <c r="R102" s="482"/>
      <c r="S102" s="482"/>
      <c r="T102" s="482"/>
      <c r="U102" s="482"/>
      <c r="V102" s="482"/>
      <c r="W102" s="482"/>
      <c r="X102" s="482"/>
      <c r="Y102" s="482"/>
      <c r="Z102" s="482"/>
      <c r="AA102" s="448"/>
      <c r="AB102" s="228"/>
      <c r="AC102" s="225"/>
      <c r="AE102" s="230"/>
      <c r="AF102" s="340"/>
    </row>
    <row r="103" spans="1:29" s="340" customFormat="1" ht="13.5" customHeight="1" thickTop="1">
      <c r="A103" s="488"/>
      <c r="B103" s="489"/>
      <c r="C103" s="489"/>
      <c r="D103" s="489"/>
      <c r="E103" s="489"/>
      <c r="F103" s="489"/>
      <c r="G103" s="489"/>
      <c r="H103" s="489"/>
      <c r="I103" s="489"/>
      <c r="J103" s="489"/>
      <c r="K103" s="489"/>
      <c r="L103" s="489"/>
      <c r="M103" s="489"/>
      <c r="N103" s="489"/>
      <c r="O103" s="489"/>
      <c r="P103" s="489"/>
      <c r="Q103" s="489"/>
      <c r="R103" s="489"/>
      <c r="S103" s="489"/>
      <c r="T103" s="489"/>
      <c r="U103" s="489"/>
      <c r="V103" s="489"/>
      <c r="W103" s="489"/>
      <c r="X103" s="489"/>
      <c r="Y103" s="489"/>
      <c r="Z103" s="489"/>
      <c r="AA103" s="228"/>
      <c r="AB103" s="228"/>
      <c r="AC103" s="225"/>
    </row>
    <row r="104" spans="1:32" s="515" customFormat="1" ht="18" customHeight="1">
      <c r="A104" s="516" t="s">
        <v>268</v>
      </c>
      <c r="B104" s="517"/>
      <c r="C104" s="517"/>
      <c r="D104" s="517"/>
      <c r="E104" s="517"/>
      <c r="F104" s="517"/>
      <c r="G104" s="517"/>
      <c r="H104" s="517"/>
      <c r="I104" s="517"/>
      <c r="J104" s="517"/>
      <c r="K104" s="517"/>
      <c r="L104" s="517"/>
      <c r="M104" s="517"/>
      <c r="N104" s="517"/>
      <c r="O104" s="517"/>
      <c r="P104" s="517"/>
      <c r="Q104" s="517"/>
      <c r="R104" s="517"/>
      <c r="S104" s="517"/>
      <c r="T104" s="517"/>
      <c r="U104" s="517"/>
      <c r="V104" s="517"/>
      <c r="W104" s="517"/>
      <c r="X104" s="517"/>
      <c r="Y104" s="517"/>
      <c r="Z104" s="517"/>
      <c r="AA104" s="518"/>
      <c r="AB104" s="518"/>
      <c r="AC104" s="518"/>
      <c r="AE104" s="519"/>
      <c r="AF104" s="518"/>
    </row>
    <row r="105" spans="1:32" s="340" customFormat="1" ht="17.25" customHeight="1" thickBot="1">
      <c r="A105" s="488"/>
      <c r="B105" s="489"/>
      <c r="C105" s="489"/>
      <c r="D105" s="489"/>
      <c r="E105" s="489"/>
      <c r="F105" s="489"/>
      <c r="G105" s="489"/>
      <c r="H105" s="489"/>
      <c r="I105" s="489"/>
      <c r="J105" s="489"/>
      <c r="K105" s="489"/>
      <c r="L105" s="489"/>
      <c r="M105" s="489"/>
      <c r="N105" s="489"/>
      <c r="O105" s="489"/>
      <c r="P105" s="489"/>
      <c r="Q105" s="489"/>
      <c r="R105" s="489"/>
      <c r="S105" s="489"/>
      <c r="T105" s="489"/>
      <c r="U105" s="489"/>
      <c r="V105" s="489"/>
      <c r="W105" s="489"/>
      <c r="X105" s="489"/>
      <c r="Y105" s="489"/>
      <c r="Z105" s="489"/>
      <c r="AA105" s="228"/>
      <c r="AB105" s="228"/>
      <c r="AC105" s="225"/>
      <c r="AE105" s="230"/>
      <c r="AF105" s="447"/>
    </row>
    <row r="106" spans="1:29" s="340" customFormat="1" ht="14.25" customHeight="1" thickTop="1" thickBot="1">
      <c r="A106" s="490"/>
      <c r="B106" s="482"/>
      <c r="C106" s="482"/>
      <c r="D106" s="482"/>
      <c r="E106" s="482"/>
      <c r="F106" s="482"/>
      <c r="G106" s="1547" t="s">
        <v>269</v>
      </c>
      <c r="H106" s="1548"/>
      <c r="I106" s="1548"/>
      <c r="J106" s="1548"/>
      <c r="K106" s="1549"/>
      <c r="L106" s="1547" t="s">
        <v>270</v>
      </c>
      <c r="M106" s="1548"/>
      <c r="N106" s="1548"/>
      <c r="O106" s="1548"/>
      <c r="P106" s="1549"/>
      <c r="Q106" s="1547" t="s">
        <v>271</v>
      </c>
      <c r="R106" s="1548"/>
      <c r="S106" s="1548"/>
      <c r="T106" s="1548"/>
      <c r="U106" s="1549"/>
      <c r="V106" s="1547" t="s">
        <v>272</v>
      </c>
      <c r="W106" s="1548"/>
      <c r="X106" s="1548"/>
      <c r="Y106" s="1548"/>
      <c r="Z106" s="1549"/>
      <c r="AA106" s="228"/>
      <c r="AB106" s="228"/>
      <c r="AC106" s="225"/>
    </row>
    <row r="107" spans="1:35" s="340" customFormat="1" ht="18" customHeight="1" thickTop="1" thickBot="1">
      <c r="A107" s="233"/>
      <c r="B107" s="234" t="s">
        <v>273</v>
      </c>
      <c r="C107" s="234"/>
      <c r="D107" s="482"/>
      <c r="E107" s="482"/>
      <c r="F107" s="482"/>
      <c r="G107" s="482"/>
      <c r="H107" s="482"/>
      <c r="I107" s="482"/>
      <c r="J107" s="482"/>
      <c r="K107" s="482"/>
      <c r="L107" s="482"/>
      <c r="M107" s="482"/>
      <c r="N107" s="482"/>
      <c r="O107" s="482"/>
      <c r="P107" s="482"/>
      <c r="Q107" s="482"/>
      <c r="R107" s="482"/>
      <c r="S107" s="482"/>
      <c r="T107" s="482"/>
      <c r="U107" s="482"/>
      <c r="V107" s="482"/>
      <c r="W107" s="482"/>
      <c r="X107" s="482"/>
      <c r="Y107" s="482"/>
      <c r="Z107" s="482"/>
      <c r="AA107" s="228"/>
      <c r="AB107" s="228"/>
      <c r="AC107" s="225"/>
      <c r="AH107" s="230"/>
      <c r="AI107" s="340"/>
    </row>
    <row r="108" spans="1:32" s="340" customFormat="1" ht="18" customHeight="1" thickTop="1" thickBot="1">
      <c r="A108" s="490">
        <v>1</v>
      </c>
      <c r="B108" s="482" t="s">
        <v>274</v>
      </c>
      <c r="C108" s="482"/>
      <c r="D108" s="482"/>
      <c r="E108" s="482"/>
      <c r="F108" s="482"/>
      <c r="G108" s="1574">
        <v>43831</v>
      </c>
      <c r="H108" s="1568"/>
      <c r="I108" s="449" t="s">
        <v>275</v>
      </c>
      <c r="J108" s="1568">
        <v>43984</v>
      </c>
      <c r="K108" s="1569"/>
      <c r="L108" s="1574"/>
      <c r="M108" s="1568"/>
      <c r="N108" s="449" t="s">
        <v>275</v>
      </c>
      <c r="O108" s="1568"/>
      <c r="P108" s="1569"/>
      <c r="Q108" s="1574"/>
      <c r="R108" s="1568"/>
      <c r="S108" s="449" t="s">
        <v>275</v>
      </c>
      <c r="T108" s="1568"/>
      <c r="U108" s="1569"/>
      <c r="V108" s="1550">
        <f>G108</f>
        <v>0</v>
      </c>
      <c r="W108" s="1551"/>
      <c r="X108" s="450" t="s">
        <v>275</v>
      </c>
      <c r="Y108" s="1551">
        <f>IF(T108&gt;0,T108,IF(O108&gt;0,O108,J108))</f>
        <v>0</v>
      </c>
      <c r="Z108" s="1552"/>
      <c r="AA108" s="448"/>
      <c r="AB108" s="228"/>
      <c r="AC108" s="225"/>
      <c r="AE108" s="230"/>
      <c r="AF108" s="340"/>
    </row>
    <row r="109" spans="1:31" s="340" customFormat="1" ht="18" customHeight="1" thickTop="1" thickBot="1">
      <c r="A109" s="490">
        <v>2</v>
      </c>
      <c r="B109" s="482" t="s">
        <v>276</v>
      </c>
      <c r="C109" s="482"/>
      <c r="D109" s="482"/>
      <c r="E109" s="482"/>
      <c r="F109" s="482"/>
      <c r="G109" s="1570">
        <f>IF(G108&gt;0,MONTH(J108)-MONTH(G108)+1,MONTH(J108)-MONTH(G108))</f>
        <v>0</v>
      </c>
      <c r="H109" s="1571"/>
      <c r="I109" s="1571"/>
      <c r="J109" s="1571"/>
      <c r="K109" s="1572"/>
      <c r="L109" s="1570">
        <f>IF(L108&gt;0,MONTH(O108)-MONTH(L108)+1,MONTH(O108)-MONTH(L108))</f>
        <v>0</v>
      </c>
      <c r="M109" s="1571"/>
      <c r="N109" s="1571"/>
      <c r="O109" s="1571"/>
      <c r="P109" s="1572"/>
      <c r="Q109" s="1570">
        <f>IF(Q108&gt;0,MONTH(T108)-MONTH(Q108)+1,MONTH(T108)-MONTH(Q108))</f>
        <v>0</v>
      </c>
      <c r="R109" s="1571"/>
      <c r="S109" s="1571"/>
      <c r="T109" s="1571"/>
      <c r="U109" s="1572"/>
      <c r="V109" s="1570">
        <f>IF(SUM(G109:U109)&gt;12,12,SUM(G109:U109))</f>
        <v>0</v>
      </c>
      <c r="W109" s="1571"/>
      <c r="X109" s="1571"/>
      <c r="Y109" s="1571"/>
      <c r="Z109" s="1572"/>
      <c r="AA109" s="225"/>
      <c r="AB109" s="228"/>
      <c r="AD109" s="230"/>
      <c r="AE109" s="340"/>
    </row>
    <row r="110" spans="1:28" s="340" customFormat="1" ht="30.75" customHeight="1" thickTop="1" thickBot="1">
      <c r="A110" s="490">
        <v>3</v>
      </c>
      <c r="B110" s="482" t="s">
        <v>277</v>
      </c>
      <c r="C110" s="482"/>
      <c r="D110" s="482"/>
      <c r="E110" s="482"/>
      <c r="F110" s="482"/>
      <c r="G110" s="1562" t="s">
        <v>1454</v>
      </c>
      <c r="H110" s="1563"/>
      <c r="I110" s="1563"/>
      <c r="J110" s="1563"/>
      <c r="K110" s="1564"/>
      <c r="L110" s="1562" t="s">
        <v>30</v>
      </c>
      <c r="M110" s="1563"/>
      <c r="N110" s="1563"/>
      <c r="O110" s="1563"/>
      <c r="P110" s="1564"/>
      <c r="Q110" s="1562" t="s">
        <v>30</v>
      </c>
      <c r="R110" s="1563"/>
      <c r="S110" s="1563"/>
      <c r="T110" s="1563"/>
      <c r="U110" s="1564"/>
      <c r="V110" s="1558"/>
      <c r="W110" s="1559"/>
      <c r="X110" s="1559"/>
      <c r="Y110" s="1559"/>
      <c r="Z110" s="1559"/>
      <c r="AA110" s="225"/>
      <c r="AB110" s="228"/>
    </row>
    <row r="111" spans="1:28" s="340" customFormat="1" ht="14.25" customHeight="1" thickTop="1" thickBot="1">
      <c r="A111" s="490">
        <v>4</v>
      </c>
      <c r="B111" s="482" t="s">
        <v>278</v>
      </c>
      <c r="C111" s="482"/>
      <c r="D111" s="482"/>
      <c r="E111" s="482"/>
      <c r="F111" s="482"/>
      <c r="G111" s="1562" t="s">
        <v>1456</v>
      </c>
      <c r="H111" s="1563"/>
      <c r="I111" s="1563"/>
      <c r="J111" s="1563"/>
      <c r="K111" s="1564"/>
      <c r="L111" s="1562"/>
      <c r="M111" s="1563"/>
      <c r="N111" s="1563"/>
      <c r="O111" s="1563"/>
      <c r="P111" s="1564"/>
      <c r="Q111" s="1562" t="s">
        <v>30</v>
      </c>
      <c r="R111" s="1563"/>
      <c r="S111" s="1563"/>
      <c r="T111" s="1563"/>
      <c r="U111" s="1564"/>
      <c r="V111" s="1560"/>
      <c r="W111" s="1561"/>
      <c r="X111" s="1561"/>
      <c r="Y111" s="1561"/>
      <c r="Z111" s="1561"/>
      <c r="AA111" s="225"/>
      <c r="AB111" s="225"/>
    </row>
    <row r="112" spans="1:28" ht="14.25" customHeight="1" thickTop="1" thickBot="1">
      <c r="A112" s="490">
        <v>5</v>
      </c>
      <c r="B112" s="482" t="s">
        <v>279</v>
      </c>
      <c r="C112" s="482"/>
      <c r="D112" s="482"/>
      <c r="E112" s="482"/>
      <c r="F112" s="482"/>
      <c r="G112" s="1562" t="s">
        <v>1457</v>
      </c>
      <c r="H112" s="1563"/>
      <c r="I112" s="1563"/>
      <c r="J112" s="1563"/>
      <c r="K112" s="1564"/>
      <c r="L112" s="1562"/>
      <c r="M112" s="1563"/>
      <c r="N112" s="1563"/>
      <c r="O112" s="1563"/>
      <c r="P112" s="1564"/>
      <c r="Q112" s="1562" t="s">
        <v>30</v>
      </c>
      <c r="R112" s="1563"/>
      <c r="S112" s="1563"/>
      <c r="T112" s="1563"/>
      <c r="U112" s="1564"/>
      <c r="V112" s="1560"/>
      <c r="W112" s="1561"/>
      <c r="X112" s="1561"/>
      <c r="Y112" s="1561"/>
      <c r="Z112" s="1561"/>
      <c r="AA112" s="226"/>
      <c r="AB112" s="226"/>
    </row>
    <row r="113" spans="1:29" ht="14.25" customHeight="1" thickTop="1" thickBot="1">
      <c r="A113" s="490">
        <v>6</v>
      </c>
      <c r="B113" s="482" t="s">
        <v>280</v>
      </c>
      <c r="C113" s="482"/>
      <c r="D113" s="482"/>
      <c r="E113" s="482"/>
      <c r="F113" s="482"/>
      <c r="G113" s="1616"/>
      <c r="H113" s="1617"/>
      <c r="I113" s="1617"/>
      <c r="J113" s="1617"/>
      <c r="K113" s="1618"/>
      <c r="L113" s="1616" t="s">
        <v>30</v>
      </c>
      <c r="M113" s="1617"/>
      <c r="N113" s="1617"/>
      <c r="O113" s="1617"/>
      <c r="P113" s="1618"/>
      <c r="Q113" s="1616" t="s">
        <v>30</v>
      </c>
      <c r="R113" s="1617"/>
      <c r="S113" s="1617"/>
      <c r="T113" s="1617"/>
      <c r="U113" s="1618"/>
      <c r="V113" s="1560" t="s">
        <v>197</v>
      </c>
      <c r="W113" s="1561"/>
      <c r="X113" s="1561"/>
      <c r="Y113" s="1561"/>
      <c r="Z113" s="1561"/>
      <c r="AA113" s="225"/>
      <c r="AB113" s="225"/>
      <c r="AC113" s="225"/>
    </row>
    <row r="114" spans="1:31" ht="14.25" customHeight="1" thickTop="1" thickBot="1">
      <c r="A114" s="490">
        <v>7</v>
      </c>
      <c r="B114" s="482" t="s">
        <v>281</v>
      </c>
      <c r="C114" s="482"/>
      <c r="D114" s="482"/>
      <c r="E114" s="482"/>
      <c r="F114" s="482"/>
      <c r="G114" s="451" t="s">
        <v>198</v>
      </c>
      <c r="H114" s="498" t="str">
        <f>IF(G114="X","YES","NO")</f>
        <v>NO</v>
      </c>
      <c r="I114" s="482"/>
      <c r="J114" s="482"/>
      <c r="K114" s="482"/>
      <c r="L114" s="451"/>
      <c r="M114" s="498" t="str">
        <f>IF(L114="X","YES","NO")</f>
        <v>NO</v>
      </c>
      <c r="N114" s="482"/>
      <c r="O114" s="482"/>
      <c r="P114" s="482" t="s">
        <v>197</v>
      </c>
      <c r="Q114" s="451"/>
      <c r="R114" s="498" t="str">
        <f>IF(Q114="X","YES","NO")</f>
        <v>NO</v>
      </c>
      <c r="S114" s="482"/>
      <c r="T114" s="482"/>
      <c r="U114" s="482"/>
      <c r="V114" s="500"/>
      <c r="W114" s="500"/>
      <c r="X114" s="500"/>
      <c r="Y114" s="500"/>
      <c r="Z114" s="500"/>
      <c r="AA114" s="225"/>
      <c r="AB114" s="225"/>
      <c r="AC114" s="225"/>
      <c r="AD114" s="225"/>
      <c r="AE114" s="225"/>
    </row>
    <row r="115" spans="1:31" ht="13.5" customHeight="1" thickTop="1">
      <c r="A115" s="490"/>
      <c r="B115" s="482"/>
      <c r="C115" s="482"/>
      <c r="D115" s="482"/>
      <c r="E115" s="482"/>
      <c r="F115" s="482"/>
      <c r="G115" s="482"/>
      <c r="H115" s="482"/>
      <c r="I115" s="482"/>
      <c r="J115" s="482"/>
      <c r="K115" s="482"/>
      <c r="L115" s="482"/>
      <c r="M115" s="482"/>
      <c r="N115" s="482"/>
      <c r="O115" s="482"/>
      <c r="P115" s="482"/>
      <c r="Q115" s="482"/>
      <c r="R115" s="482"/>
      <c r="S115" s="482"/>
      <c r="T115" s="482"/>
      <c r="U115" s="482"/>
      <c r="V115" s="482"/>
      <c r="W115" s="482"/>
      <c r="X115" s="482"/>
      <c r="Y115" s="482"/>
      <c r="Z115" s="482"/>
      <c r="AA115" s="225"/>
      <c r="AB115" s="225"/>
      <c r="AC115" s="225"/>
      <c r="AD115" s="225"/>
      <c r="AE115" s="225"/>
    </row>
    <row r="116" spans="1:31" ht="15.75" customHeight="1">
      <c r="A116" s="233"/>
      <c r="B116" s="234" t="s">
        <v>282</v>
      </c>
      <c r="C116" s="234"/>
      <c r="D116" s="482"/>
      <c r="E116" s="482"/>
      <c r="F116" s="482"/>
      <c r="G116" s="490"/>
      <c r="H116" s="1681"/>
      <c r="I116" s="1681"/>
      <c r="J116" s="1681"/>
      <c r="K116" s="1681"/>
      <c r="L116" s="482"/>
      <c r="M116" s="482"/>
      <c r="N116" s="482"/>
      <c r="O116" s="482"/>
      <c r="P116" s="482"/>
      <c r="Q116" s="482"/>
      <c r="R116" s="482"/>
      <c r="S116" s="482"/>
      <c r="T116" s="482"/>
      <c r="U116" s="482"/>
      <c r="V116" s="482"/>
      <c r="W116" s="482"/>
      <c r="X116" s="482"/>
      <c r="Y116" s="482"/>
      <c r="Z116" s="482"/>
      <c r="AA116" s="225"/>
      <c r="AB116" s="225"/>
      <c r="AC116" s="225"/>
      <c r="AD116" s="225"/>
      <c r="AE116" s="225"/>
    </row>
    <row r="117" spans="1:29" s="340" customFormat="1" ht="13.5" customHeight="1" thickBot="1">
      <c r="A117" s="490">
        <v>1</v>
      </c>
      <c r="B117" s="482" t="s">
        <v>188</v>
      </c>
      <c r="C117" s="482"/>
      <c r="D117" s="482"/>
      <c r="E117" s="482"/>
      <c r="F117" s="482"/>
      <c r="G117" s="482"/>
      <c r="H117" s="482"/>
      <c r="I117" s="482"/>
      <c r="J117" s="482"/>
      <c r="K117" s="482"/>
      <c r="L117" s="482"/>
      <c r="M117" s="482"/>
      <c r="N117" s="482"/>
      <c r="O117" s="482"/>
      <c r="P117" s="482"/>
      <c r="Q117" s="482"/>
      <c r="R117" s="482"/>
      <c r="S117" s="482"/>
      <c r="T117" s="482"/>
      <c r="U117" s="482"/>
      <c r="V117" s="482"/>
      <c r="W117" s="482"/>
      <c r="X117" s="482"/>
      <c r="Y117" s="482"/>
      <c r="Z117" s="482"/>
      <c r="AA117" s="225"/>
      <c r="AB117" s="225"/>
      <c r="AC117" s="225"/>
    </row>
    <row r="118" spans="1:28" s="340" customFormat="1" ht="14.25" customHeight="1" thickTop="1" thickBot="1">
      <c r="A118" s="499"/>
      <c r="B118" s="1656" t="s">
        <v>283</v>
      </c>
      <c r="C118" s="1657"/>
      <c r="D118" s="1657"/>
      <c r="E118" s="1657"/>
      <c r="F118" s="1658"/>
      <c r="G118" s="1536">
        <v>198690222</v>
      </c>
      <c r="H118" s="1537"/>
      <c r="I118" s="1537"/>
      <c r="J118" s="1537"/>
      <c r="K118" s="1538"/>
      <c r="L118" s="1536"/>
      <c r="M118" s="1537"/>
      <c r="N118" s="1537"/>
      <c r="O118" s="1537"/>
      <c r="P118" s="1538"/>
      <c r="Q118" s="1536"/>
      <c r="R118" s="1537"/>
      <c r="S118" s="1537"/>
      <c r="T118" s="1537"/>
      <c r="U118" s="1538"/>
      <c r="V118" s="1533">
        <f>SUM(G118:U118)</f>
        <v>0</v>
      </c>
      <c r="W118" s="1534"/>
      <c r="X118" s="1534"/>
      <c r="Y118" s="1534"/>
      <c r="Z118" s="1535"/>
      <c r="AA118" s="228"/>
      <c r="AB118" s="228"/>
    </row>
    <row r="119" spans="1:28" s="340" customFormat="1" ht="14.25" customHeight="1" thickTop="1" thickBot="1">
      <c r="A119" s="499"/>
      <c r="B119" s="1656" t="s">
        <v>284</v>
      </c>
      <c r="C119" s="1657"/>
      <c r="D119" s="1657"/>
      <c r="E119" s="1657"/>
      <c r="F119" s="1658"/>
      <c r="G119" s="1536">
        <v>35672875</v>
      </c>
      <c r="H119" s="1537"/>
      <c r="I119" s="1537"/>
      <c r="J119" s="1537"/>
      <c r="K119" s="1538"/>
      <c r="L119" s="1536"/>
      <c r="M119" s="1537"/>
      <c r="N119" s="1537"/>
      <c r="O119" s="1537"/>
      <c r="P119" s="1538"/>
      <c r="Q119" s="1536"/>
      <c r="R119" s="1537"/>
      <c r="S119" s="1537"/>
      <c r="T119" s="1537"/>
      <c r="U119" s="1538"/>
      <c r="V119" s="1533">
        <f t="shared" si="0" ref="V119:V124">SUM(G119:U119)</f>
        <v>0</v>
      </c>
      <c r="W119" s="1534"/>
      <c r="X119" s="1534"/>
      <c r="Y119" s="1534"/>
      <c r="Z119" s="1535"/>
      <c r="AA119" s="228"/>
      <c r="AB119" s="228"/>
    </row>
    <row r="120" spans="1:28" s="340" customFormat="1" ht="27" customHeight="1" thickTop="1" thickBot="1">
      <c r="A120" s="501"/>
      <c r="B120" s="1656" t="s">
        <v>285</v>
      </c>
      <c r="C120" s="1657"/>
      <c r="D120" s="1657"/>
      <c r="E120" s="1657"/>
      <c r="F120" s="1658"/>
      <c r="G120" s="1536"/>
      <c r="H120" s="1537"/>
      <c r="I120" s="1537"/>
      <c r="J120" s="1537"/>
      <c r="K120" s="1538"/>
      <c r="L120" s="1536"/>
      <c r="M120" s="1537"/>
      <c r="N120" s="1537"/>
      <c r="O120" s="1537"/>
      <c r="P120" s="1538"/>
      <c r="Q120" s="1536"/>
      <c r="R120" s="1537"/>
      <c r="S120" s="1537"/>
      <c r="T120" s="1537"/>
      <c r="U120" s="1538"/>
      <c r="V120" s="1533">
        <f t="shared" si="0">SUM(G120:U120)</f>
        <v>0</v>
      </c>
      <c r="W120" s="1534"/>
      <c r="X120" s="1534"/>
      <c r="Y120" s="1534"/>
      <c r="Z120" s="1535"/>
      <c r="AA120" s="228"/>
      <c r="AB120" s="228"/>
    </row>
    <row r="121" spans="1:28" s="340" customFormat="1" ht="15" customHeight="1" thickTop="1" thickBot="1">
      <c r="A121" s="499"/>
      <c r="B121" s="1656" t="s">
        <v>286</v>
      </c>
      <c r="C121" s="1657"/>
      <c r="D121" s="1657"/>
      <c r="E121" s="1657"/>
      <c r="F121" s="1658"/>
      <c r="G121" s="1536"/>
      <c r="H121" s="1537"/>
      <c r="I121" s="1537"/>
      <c r="J121" s="1537"/>
      <c r="K121" s="1538"/>
      <c r="L121" s="1536"/>
      <c r="M121" s="1537"/>
      <c r="N121" s="1537"/>
      <c r="O121" s="1537"/>
      <c r="P121" s="1538"/>
      <c r="Q121" s="1536"/>
      <c r="R121" s="1537"/>
      <c r="S121" s="1537"/>
      <c r="T121" s="1537"/>
      <c r="U121" s="1538"/>
      <c r="V121" s="1533">
        <f t="shared" si="0">SUM(G121:U121)</f>
        <v>0</v>
      </c>
      <c r="W121" s="1534"/>
      <c r="X121" s="1534"/>
      <c r="Y121" s="1534"/>
      <c r="Z121" s="1535"/>
      <c r="AA121" s="228"/>
      <c r="AB121" s="228"/>
    </row>
    <row r="122" spans="1:28" s="340" customFormat="1" ht="14.25" customHeight="1" thickTop="1" thickBot="1">
      <c r="A122" s="499"/>
      <c r="B122" s="1656" t="s">
        <v>287</v>
      </c>
      <c r="C122" s="1657"/>
      <c r="D122" s="1657"/>
      <c r="E122" s="1657"/>
      <c r="F122" s="1658"/>
      <c r="G122" s="1536">
        <v>3890345</v>
      </c>
      <c r="H122" s="1537"/>
      <c r="I122" s="1537"/>
      <c r="J122" s="1537"/>
      <c r="K122" s="1538"/>
      <c r="L122" s="1536"/>
      <c r="M122" s="1537"/>
      <c r="N122" s="1537"/>
      <c r="O122" s="1537"/>
      <c r="P122" s="1538"/>
      <c r="Q122" s="1536"/>
      <c r="R122" s="1537"/>
      <c r="S122" s="1537"/>
      <c r="T122" s="1537"/>
      <c r="U122" s="1538"/>
      <c r="V122" s="1533">
        <f t="shared" si="0">SUM(G122:U122)</f>
        <v>0</v>
      </c>
      <c r="W122" s="1534"/>
      <c r="X122" s="1534"/>
      <c r="Y122" s="1534"/>
      <c r="Z122" s="1535"/>
      <c r="AA122" s="228"/>
      <c r="AB122" s="228"/>
    </row>
    <row r="123" spans="1:29" s="340" customFormat="1" ht="24" customHeight="1" thickTop="1" thickBot="1">
      <c r="A123" s="501"/>
      <c r="B123" s="1656" t="s">
        <v>455</v>
      </c>
      <c r="C123" s="1657"/>
      <c r="D123" s="1657"/>
      <c r="E123" s="1657"/>
      <c r="F123" s="1658"/>
      <c r="G123" s="1536"/>
      <c r="H123" s="1537"/>
      <c r="I123" s="1537"/>
      <c r="J123" s="1537"/>
      <c r="K123" s="1538"/>
      <c r="L123" s="1536"/>
      <c r="M123" s="1537"/>
      <c r="N123" s="1537"/>
      <c r="O123" s="1537"/>
      <c r="P123" s="1538"/>
      <c r="Q123" s="1536"/>
      <c r="R123" s="1537"/>
      <c r="S123" s="1537"/>
      <c r="T123" s="1537"/>
      <c r="U123" s="1538"/>
      <c r="V123" s="1533">
        <f t="shared" si="0">SUM(G123:U123)</f>
        <v>0</v>
      </c>
      <c r="W123" s="1534"/>
      <c r="X123" s="1534"/>
      <c r="Y123" s="1534"/>
      <c r="Z123" s="1535"/>
      <c r="AA123" s="228"/>
      <c r="AB123" s="228"/>
      <c r="AC123" s="340" t="s">
        <v>197</v>
      </c>
    </row>
    <row r="124" spans="1:28" s="340" customFormat="1" ht="24.75" customHeight="1" thickTop="1" thickBot="1">
      <c r="A124" s="501"/>
      <c r="B124" s="1651" t="s">
        <v>288</v>
      </c>
      <c r="C124" s="1652"/>
      <c r="D124" s="1652"/>
      <c r="E124" s="1652"/>
      <c r="F124" s="1653"/>
      <c r="G124" s="1536"/>
      <c r="H124" s="1537"/>
      <c r="I124" s="1537"/>
      <c r="J124" s="1537"/>
      <c r="K124" s="1538"/>
      <c r="L124" s="1536"/>
      <c r="M124" s="1537"/>
      <c r="N124" s="1537"/>
      <c r="O124" s="1537"/>
      <c r="P124" s="1538"/>
      <c r="Q124" s="1536"/>
      <c r="R124" s="1537"/>
      <c r="S124" s="1537"/>
      <c r="T124" s="1537"/>
      <c r="U124" s="1538"/>
      <c r="V124" s="1533">
        <f t="shared" si="0">SUM(G124:U124)</f>
        <v>0</v>
      </c>
      <c r="W124" s="1534"/>
      <c r="X124" s="1534"/>
      <c r="Y124" s="1534"/>
      <c r="Z124" s="1535"/>
      <c r="AA124" s="228"/>
      <c r="AB124" s="228"/>
    </row>
    <row r="125" spans="1:28" s="340" customFormat="1" ht="14.25" customHeight="1" thickTop="1" thickBot="1">
      <c r="A125" s="499"/>
      <c r="B125" s="501" t="s">
        <v>289</v>
      </c>
      <c r="C125" s="1654"/>
      <c r="D125" s="1654"/>
      <c r="E125" s="1654"/>
      <c r="F125" s="1655"/>
      <c r="G125" s="1533">
        <f>SUM(G118:K124)</f>
        <v>0</v>
      </c>
      <c r="H125" s="1534"/>
      <c r="I125" s="1534"/>
      <c r="J125" s="1534"/>
      <c r="K125" s="1535"/>
      <c r="L125" s="1533">
        <f>SUM(L118:P124)</f>
        <v>0</v>
      </c>
      <c r="M125" s="1534"/>
      <c r="N125" s="1534"/>
      <c r="O125" s="1534"/>
      <c r="P125" s="1535"/>
      <c r="Q125" s="1533">
        <f>SUM(Q118:U124)</f>
        <v>0</v>
      </c>
      <c r="R125" s="1534"/>
      <c r="S125" s="1534"/>
      <c r="T125" s="1534"/>
      <c r="U125" s="1535"/>
      <c r="V125" s="1533">
        <f>SUM(V118:Z124)</f>
        <v>0</v>
      </c>
      <c r="W125" s="1534"/>
      <c r="X125" s="1534"/>
      <c r="Y125" s="1534"/>
      <c r="Z125" s="1535"/>
      <c r="AA125" s="228"/>
      <c r="AB125" s="228"/>
    </row>
    <row r="126" spans="1:28" s="340" customFormat="1" ht="13.5" customHeight="1" thickTop="1">
      <c r="A126" s="499"/>
      <c r="B126" s="501"/>
      <c r="C126" s="501"/>
      <c r="D126" s="501"/>
      <c r="E126" s="501"/>
      <c r="F126" s="501"/>
      <c r="G126" s="501"/>
      <c r="H126" s="501"/>
      <c r="I126" s="501"/>
      <c r="J126" s="501"/>
      <c r="K126" s="501"/>
      <c r="L126" s="501"/>
      <c r="M126" s="501"/>
      <c r="N126" s="501"/>
      <c r="O126" s="501"/>
      <c r="P126" s="501"/>
      <c r="Q126" s="501"/>
      <c r="R126" s="501"/>
      <c r="S126" s="501"/>
      <c r="T126" s="501"/>
      <c r="U126" s="501"/>
      <c r="V126" s="502"/>
      <c r="W126" s="502"/>
      <c r="X126" s="502"/>
      <c r="Y126" s="502"/>
      <c r="Z126" s="502"/>
      <c r="AA126" s="228"/>
      <c r="AB126" s="228"/>
    </row>
    <row r="127" spans="1:28" s="340" customFormat="1" ht="13.5" customHeight="1" thickBot="1">
      <c r="A127" s="490">
        <v>2</v>
      </c>
      <c r="B127" s="1646" t="s">
        <v>290</v>
      </c>
      <c r="C127" s="1647"/>
      <c r="D127" s="1647"/>
      <c r="E127" s="1647"/>
      <c r="F127" s="1647"/>
      <c r="G127" s="501"/>
      <c r="H127" s="501"/>
      <c r="I127" s="501"/>
      <c r="J127" s="501"/>
      <c r="K127" s="501"/>
      <c r="L127" s="501" t="s">
        <v>197</v>
      </c>
      <c r="M127" s="501"/>
      <c r="N127" s="501"/>
      <c r="O127" s="501"/>
      <c r="P127" s="501"/>
      <c r="Q127" s="501"/>
      <c r="R127" s="501"/>
      <c r="S127" s="501"/>
      <c r="T127" s="501"/>
      <c r="U127" s="501"/>
      <c r="V127" s="502"/>
      <c r="W127" s="502"/>
      <c r="X127" s="502"/>
      <c r="Y127" s="502"/>
      <c r="Z127" s="502"/>
      <c r="AA127" s="228"/>
      <c r="AB127" s="228"/>
    </row>
    <row r="128" spans="1:26" ht="14.25" customHeight="1" thickTop="1" thickBot="1">
      <c r="A128" s="499"/>
      <c r="B128" s="1656" t="s">
        <v>291</v>
      </c>
      <c r="C128" s="1657"/>
      <c r="D128" s="1657"/>
      <c r="E128" s="1657"/>
      <c r="F128" s="1658"/>
      <c r="G128" s="1536">
        <v>3000000</v>
      </c>
      <c r="H128" s="1537"/>
      <c r="I128" s="1537"/>
      <c r="J128" s="1537"/>
      <c r="K128" s="1538"/>
      <c r="L128" s="1536"/>
      <c r="M128" s="1537"/>
      <c r="N128" s="1537"/>
      <c r="O128" s="1537"/>
      <c r="P128" s="1538"/>
      <c r="Q128" s="1536">
        <f>+Q109*500000</f>
        <v>0</v>
      </c>
      <c r="R128" s="1537"/>
      <c r="S128" s="1537"/>
      <c r="T128" s="1537"/>
      <c r="U128" s="1538"/>
      <c r="V128" s="1533">
        <f>+SUM(G128:U128)</f>
        <v>0</v>
      </c>
      <c r="W128" s="1534"/>
      <c r="X128" s="1534"/>
      <c r="Y128" s="1534"/>
      <c r="Z128" s="1535"/>
    </row>
    <row r="129" spans="1:26" ht="14.25" customHeight="1" thickTop="1" thickBot="1">
      <c r="A129" s="499"/>
      <c r="B129" s="1656" t="s">
        <v>292</v>
      </c>
      <c r="C129" s="1657"/>
      <c r="D129" s="1657"/>
      <c r="E129" s="1657"/>
      <c r="F129" s="1658"/>
      <c r="G129" s="1536"/>
      <c r="H129" s="1537"/>
      <c r="I129" s="1537"/>
      <c r="J129" s="1537"/>
      <c r="K129" s="1538"/>
      <c r="L129" s="1536"/>
      <c r="M129" s="1537"/>
      <c r="N129" s="1537"/>
      <c r="O129" s="1537"/>
      <c r="P129" s="1538"/>
      <c r="Q129" s="1536"/>
      <c r="R129" s="1537"/>
      <c r="S129" s="1537"/>
      <c r="T129" s="1537"/>
      <c r="U129" s="1538"/>
      <c r="V129" s="1533">
        <f>SUM(G129:U129)</f>
        <v>0</v>
      </c>
      <c r="W129" s="1534"/>
      <c r="X129" s="1534"/>
      <c r="Y129" s="1534"/>
      <c r="Z129" s="1535"/>
    </row>
    <row r="130" spans="1:28" ht="14.25" customHeight="1" thickTop="1" thickBot="1">
      <c r="A130" s="499"/>
      <c r="B130" s="1656" t="s">
        <v>293</v>
      </c>
      <c r="C130" s="1657"/>
      <c r="D130" s="1657"/>
      <c r="E130" s="1657"/>
      <c r="F130" s="1658"/>
      <c r="G130" s="1536">
        <v>3311505</v>
      </c>
      <c r="H130" s="1537"/>
      <c r="I130" s="1537"/>
      <c r="J130" s="1537"/>
      <c r="K130" s="1538"/>
      <c r="L130" s="1536"/>
      <c r="M130" s="1537"/>
      <c r="N130" s="1537"/>
      <c r="O130" s="1537"/>
      <c r="P130" s="1538"/>
      <c r="Q130" s="1536"/>
      <c r="R130" s="1537"/>
      <c r="S130" s="1537"/>
      <c r="T130" s="1537"/>
      <c r="U130" s="1538"/>
      <c r="V130" s="1533">
        <f>SUM(G130:U130)</f>
        <v>0</v>
      </c>
      <c r="W130" s="1534"/>
      <c r="X130" s="1534"/>
      <c r="Y130" s="1534"/>
      <c r="Z130" s="1535"/>
      <c r="AA130" s="340"/>
      <c r="AB130" s="340"/>
    </row>
    <row r="131" spans="1:28" ht="14.25" customHeight="1" thickTop="1" thickBot="1">
      <c r="A131" s="499"/>
      <c r="B131" s="1646" t="s">
        <v>294</v>
      </c>
      <c r="C131" s="1647"/>
      <c r="D131" s="1647"/>
      <c r="E131" s="1647"/>
      <c r="F131" s="1662"/>
      <c r="G131" s="1533">
        <f>SUM(G128:K130)</f>
        <v>0</v>
      </c>
      <c r="H131" s="1534"/>
      <c r="I131" s="1534"/>
      <c r="J131" s="1534"/>
      <c r="K131" s="1535"/>
      <c r="L131" s="1533">
        <f>SUM(L128:P130)</f>
        <v>0</v>
      </c>
      <c r="M131" s="1534"/>
      <c r="N131" s="1534"/>
      <c r="O131" s="1534"/>
      <c r="P131" s="1535"/>
      <c r="Q131" s="1533">
        <f>SUM(Q128:U130)</f>
        <v>0</v>
      </c>
      <c r="R131" s="1534"/>
      <c r="S131" s="1534"/>
      <c r="T131" s="1534"/>
      <c r="U131" s="1535"/>
      <c r="V131" s="1533">
        <f>SUM(V128:Z130)</f>
        <v>0</v>
      </c>
      <c r="W131" s="1534"/>
      <c r="X131" s="1534"/>
      <c r="Y131" s="1534"/>
      <c r="Z131" s="1535"/>
      <c r="AA131" s="340"/>
      <c r="AB131" s="340"/>
    </row>
    <row r="132" spans="1:28" ht="14.25" customHeight="1" thickTop="1" thickBot="1">
      <c r="A132" s="499"/>
      <c r="B132" s="503"/>
      <c r="C132" s="499"/>
      <c r="D132" s="499"/>
      <c r="E132" s="499"/>
      <c r="F132" s="499"/>
      <c r="G132" s="498"/>
      <c r="H132" s="498"/>
      <c r="I132" s="498"/>
      <c r="J132" s="498"/>
      <c r="K132" s="498"/>
      <c r="L132" s="498"/>
      <c r="M132" s="498"/>
      <c r="N132" s="498"/>
      <c r="O132" s="498"/>
      <c r="P132" s="498"/>
      <c r="Q132" s="498"/>
      <c r="R132" s="498"/>
      <c r="S132" s="498"/>
      <c r="T132" s="498"/>
      <c r="U132" s="498"/>
      <c r="V132" s="498"/>
      <c r="W132" s="498"/>
      <c r="X132" s="498"/>
      <c r="Y132" s="498"/>
      <c r="Z132" s="498"/>
      <c r="AA132" s="340"/>
      <c r="AB132" s="340"/>
    </row>
    <row r="133" spans="1:28" ht="14.25" customHeight="1" thickTop="1" thickBot="1">
      <c r="A133" s="490">
        <v>3</v>
      </c>
      <c r="B133" s="499" t="s">
        <v>186</v>
      </c>
      <c r="C133" s="499"/>
      <c r="D133" s="499"/>
      <c r="E133" s="499"/>
      <c r="F133" s="499"/>
      <c r="G133" s="1533">
        <f>G125-G131</f>
        <v>0</v>
      </c>
      <c r="H133" s="1534"/>
      <c r="I133" s="1534"/>
      <c r="J133" s="1534"/>
      <c r="K133" s="1535"/>
      <c r="L133" s="1533">
        <f>L125-L131</f>
        <v>0</v>
      </c>
      <c r="M133" s="1534"/>
      <c r="N133" s="1534"/>
      <c r="O133" s="1534"/>
      <c r="P133" s="1535"/>
      <c r="Q133" s="1533">
        <f>Q125-Q131</f>
        <v>0</v>
      </c>
      <c r="R133" s="1534"/>
      <c r="S133" s="1534"/>
      <c r="T133" s="1534"/>
      <c r="U133" s="1535"/>
      <c r="V133" s="1533">
        <f>V125-V131</f>
        <v>0</v>
      </c>
      <c r="W133" s="1534"/>
      <c r="X133" s="1534"/>
      <c r="Y133" s="1534"/>
      <c r="Z133" s="1535"/>
      <c r="AA133" s="340"/>
      <c r="AB133" s="340"/>
    </row>
    <row r="134" spans="1:28" ht="13.5" customHeight="1" thickTop="1">
      <c r="A134" s="499"/>
      <c r="B134" s="503"/>
      <c r="C134" s="499"/>
      <c r="D134" s="499"/>
      <c r="E134" s="499"/>
      <c r="F134" s="499"/>
      <c r="G134" s="498"/>
      <c r="H134" s="498"/>
      <c r="I134" s="498"/>
      <c r="J134" s="498"/>
      <c r="K134" s="498"/>
      <c r="L134" s="498"/>
      <c r="M134" s="498"/>
      <c r="N134" s="498"/>
      <c r="O134" s="498"/>
      <c r="P134" s="498"/>
      <c r="Q134" s="498"/>
      <c r="R134" s="498"/>
      <c r="S134" s="498"/>
      <c r="T134" s="498"/>
      <c r="U134" s="498"/>
      <c r="V134" s="498"/>
      <c r="W134" s="498"/>
      <c r="X134" s="498"/>
      <c r="Y134" s="498"/>
      <c r="Z134" s="498"/>
      <c r="AA134" s="340"/>
      <c r="AB134" s="340"/>
    </row>
    <row r="135" spans="1:28" ht="13.5" customHeight="1" thickBot="1">
      <c r="A135" s="490">
        <v>4</v>
      </c>
      <c r="B135" s="499" t="s">
        <v>470</v>
      </c>
      <c r="C135" s="499"/>
      <c r="D135" s="499"/>
      <c r="E135" s="499"/>
      <c r="F135" s="499"/>
      <c r="G135" s="498"/>
      <c r="H135" s="498"/>
      <c r="I135" s="498"/>
      <c r="J135" s="498"/>
      <c r="K135" s="498"/>
      <c r="L135" s="498"/>
      <c r="M135" s="498"/>
      <c r="N135" s="498"/>
      <c r="O135" s="498"/>
      <c r="P135" s="498"/>
      <c r="Q135" s="498"/>
      <c r="R135" s="498"/>
      <c r="S135" s="498"/>
      <c r="T135" s="498"/>
      <c r="U135" s="498"/>
      <c r="V135" s="498"/>
      <c r="W135" s="498"/>
      <c r="X135" s="498"/>
      <c r="Y135" s="498"/>
      <c r="Z135" s="498"/>
      <c r="AA135" s="340"/>
      <c r="AB135" s="340"/>
    </row>
    <row r="136" spans="1:28" ht="14.25" customHeight="1" thickTop="1" thickBot="1">
      <c r="A136" s="490"/>
      <c r="B136" s="499" t="s">
        <v>472</v>
      </c>
      <c r="C136" s="499"/>
      <c r="D136" s="499"/>
      <c r="E136" s="499"/>
      <c r="F136" s="499"/>
      <c r="G136" s="1536"/>
      <c r="H136" s="1537"/>
      <c r="I136" s="1537"/>
      <c r="J136" s="1537"/>
      <c r="K136" s="1538"/>
      <c r="L136" s="1536"/>
      <c r="M136" s="1537"/>
      <c r="N136" s="1537"/>
      <c r="O136" s="1537"/>
      <c r="P136" s="1538"/>
      <c r="Q136" s="1536"/>
      <c r="R136" s="1537"/>
      <c r="S136" s="1537"/>
      <c r="T136" s="1537"/>
      <c r="U136" s="1538"/>
      <c r="V136" s="1533">
        <f>SUM(G136:U136)</f>
        <v>0</v>
      </c>
      <c r="W136" s="1534"/>
      <c r="X136" s="1534"/>
      <c r="Y136" s="1534"/>
      <c r="Z136" s="1535"/>
      <c r="AA136" s="340"/>
      <c r="AB136" s="340"/>
    </row>
    <row r="137" spans="1:28" ht="14.25" customHeight="1" thickTop="1" thickBot="1">
      <c r="A137" s="490"/>
      <c r="B137" s="499" t="s">
        <v>471</v>
      </c>
      <c r="C137" s="499"/>
      <c r="D137" s="499"/>
      <c r="E137" s="499"/>
      <c r="F137" s="499"/>
      <c r="G137" s="1536"/>
      <c r="H137" s="1537"/>
      <c r="I137" s="1537"/>
      <c r="J137" s="1537"/>
      <c r="K137" s="1538"/>
      <c r="L137" s="1536"/>
      <c r="M137" s="1537"/>
      <c r="N137" s="1537"/>
      <c r="O137" s="1537"/>
      <c r="P137" s="1538"/>
      <c r="Q137" s="1536"/>
      <c r="R137" s="1537"/>
      <c r="S137" s="1537"/>
      <c r="T137" s="1537"/>
      <c r="U137" s="1538"/>
      <c r="V137" s="1533">
        <f>SUM(G137:U137)</f>
        <v>0</v>
      </c>
      <c r="W137" s="1534"/>
      <c r="X137" s="1534"/>
      <c r="Y137" s="1534"/>
      <c r="Z137" s="1535"/>
      <c r="AA137" s="340"/>
      <c r="AB137" s="340"/>
    </row>
    <row r="138" spans="1:28" ht="14.25" customHeight="1" thickTop="1" thickBot="1">
      <c r="A138" s="499"/>
      <c r="B138" s="503"/>
      <c r="C138" s="499"/>
      <c r="D138" s="499"/>
      <c r="E138" s="499"/>
      <c r="F138" s="499"/>
      <c r="G138" s="498"/>
      <c r="H138" s="498"/>
      <c r="I138" s="498"/>
      <c r="J138" s="498"/>
      <c r="K138" s="498"/>
      <c r="L138" s="498"/>
      <c r="M138" s="498"/>
      <c r="N138" s="498"/>
      <c r="O138" s="498"/>
      <c r="P138" s="498"/>
      <c r="Q138" s="498"/>
      <c r="R138" s="498"/>
      <c r="S138" s="498"/>
      <c r="T138" s="498"/>
      <c r="U138" s="498"/>
      <c r="V138" s="498"/>
      <c r="W138" s="498"/>
      <c r="X138" s="498"/>
      <c r="Y138" s="498"/>
      <c r="Z138" s="498"/>
      <c r="AA138" s="340"/>
      <c r="AB138" s="340"/>
    </row>
    <row r="139" spans="1:28" ht="14.25" customHeight="1" thickTop="1" thickBot="1">
      <c r="A139" s="490">
        <v>5</v>
      </c>
      <c r="B139" s="499" t="s">
        <v>1019</v>
      </c>
      <c r="C139" s="499"/>
      <c r="D139" s="499"/>
      <c r="E139" s="499"/>
      <c r="F139" s="499"/>
      <c r="G139" s="1536">
        <v>231941937</v>
      </c>
      <c r="H139" s="1537"/>
      <c r="I139" s="1537"/>
      <c r="J139" s="1537"/>
      <c r="K139" s="1538"/>
      <c r="L139" s="1536"/>
      <c r="M139" s="1537"/>
      <c r="N139" s="1537"/>
      <c r="O139" s="1537"/>
      <c r="P139" s="1538"/>
      <c r="Q139" s="1536"/>
      <c r="R139" s="1537"/>
      <c r="S139" s="1537"/>
      <c r="T139" s="1537"/>
      <c r="U139" s="1538"/>
      <c r="V139" s="1533">
        <f>SUM(G139:U139)</f>
        <v>0</v>
      </c>
      <c r="W139" s="1534"/>
      <c r="X139" s="1534"/>
      <c r="Y139" s="1534"/>
      <c r="Z139" s="1535"/>
      <c r="AA139" s="340"/>
      <c r="AB139" s="340"/>
    </row>
    <row r="140" spans="1:28" ht="14.25" customHeight="1" thickTop="1" thickBot="1">
      <c r="A140" s="499"/>
      <c r="B140" s="503"/>
      <c r="C140" s="499"/>
      <c r="D140" s="499"/>
      <c r="E140" s="499"/>
      <c r="F140" s="499"/>
      <c r="G140" s="498"/>
      <c r="H140" s="498"/>
      <c r="I140" s="498"/>
      <c r="J140" s="498"/>
      <c r="K140" s="498"/>
      <c r="L140" s="498"/>
      <c r="M140" s="498"/>
      <c r="N140" s="498"/>
      <c r="O140" s="498"/>
      <c r="P140" s="498"/>
      <c r="Q140" s="498"/>
      <c r="R140" s="498"/>
      <c r="S140" s="498"/>
      <c r="T140" s="498"/>
      <c r="U140" s="498"/>
      <c r="V140" s="498"/>
      <c r="W140" s="498"/>
      <c r="X140" s="498"/>
      <c r="Y140" s="498"/>
      <c r="Z140" s="498"/>
      <c r="AA140" s="340"/>
      <c r="AB140" s="340"/>
    </row>
    <row r="141" spans="1:26" ht="14.25" customHeight="1" thickTop="1" thickBot="1">
      <c r="A141" s="468">
        <v>6</v>
      </c>
      <c r="B141" s="738" t="s">
        <v>325</v>
      </c>
      <c r="C141" s="738"/>
      <c r="D141" s="738"/>
      <c r="E141" s="738"/>
      <c r="F141" s="738"/>
      <c r="G141" s="1536">
        <v>463883874</v>
      </c>
      <c r="H141" s="1537"/>
      <c r="I141" s="1537"/>
      <c r="J141" s="1537"/>
      <c r="K141" s="1538"/>
      <c r="L141" s="1536"/>
      <c r="M141" s="1537"/>
      <c r="N141" s="1537"/>
      <c r="O141" s="1537"/>
      <c r="P141" s="1538"/>
      <c r="Q141" s="1536"/>
      <c r="R141" s="1537"/>
      <c r="S141" s="1537"/>
      <c r="T141" s="1537"/>
      <c r="U141" s="1538"/>
      <c r="V141" s="1533">
        <f>SUM(G141:U141)</f>
        <v>0</v>
      </c>
      <c r="W141" s="1534"/>
      <c r="X141" s="1534"/>
      <c r="Y141" s="1534"/>
      <c r="Z141" s="1535"/>
    </row>
    <row r="142" spans="1:26" ht="14.25" customHeight="1" thickTop="1" thickBot="1">
      <c r="A142" s="468"/>
      <c r="B142" s="739"/>
      <c r="C142" s="738"/>
      <c r="D142" s="738"/>
      <c r="E142" s="738"/>
      <c r="F142" s="738"/>
      <c r="G142" s="740"/>
      <c r="H142" s="740"/>
      <c r="I142" s="740"/>
      <c r="J142" s="740"/>
      <c r="K142" s="740"/>
      <c r="L142" s="740"/>
      <c r="M142" s="740"/>
      <c r="N142" s="740"/>
      <c r="O142" s="740"/>
      <c r="P142" s="740"/>
      <c r="Q142" s="740"/>
      <c r="R142" s="740"/>
      <c r="S142" s="740"/>
      <c r="T142" s="740"/>
      <c r="U142" s="740"/>
      <c r="V142" s="740"/>
      <c r="W142" s="740"/>
      <c r="X142" s="740"/>
      <c r="Y142" s="740"/>
      <c r="Z142" s="740"/>
    </row>
    <row r="143" spans="1:26" ht="14.25" customHeight="1" hidden="1" thickTop="1" thickBot="1">
      <c r="A143" s="468"/>
      <c r="B143" s="739" t="s">
        <v>1021</v>
      </c>
      <c r="C143" s="738"/>
      <c r="D143" s="738"/>
      <c r="E143" s="738"/>
      <c r="F143" s="738"/>
      <c r="G143" s="1536"/>
      <c r="H143" s="1537"/>
      <c r="I143" s="1537"/>
      <c r="J143" s="1537"/>
      <c r="K143" s="1538"/>
      <c r="L143" s="1536"/>
      <c r="M143" s="1537"/>
      <c r="N143" s="1537"/>
      <c r="O143" s="1537"/>
      <c r="P143" s="1538"/>
      <c r="Q143" s="1536"/>
      <c r="R143" s="1537"/>
      <c r="S143" s="1537"/>
      <c r="T143" s="1537"/>
      <c r="U143" s="1538"/>
      <c r="V143" s="1533">
        <v>0</v>
      </c>
      <c r="W143" s="1534"/>
      <c r="X143" s="1534"/>
      <c r="Y143" s="1534"/>
      <c r="Z143" s="1535"/>
    </row>
    <row r="144" spans="1:26" ht="14.25" customHeight="1" hidden="1" thickTop="1" thickBot="1">
      <c r="A144" s="468"/>
      <c r="B144" s="739"/>
      <c r="C144" s="738"/>
      <c r="D144" s="738"/>
      <c r="E144" s="738"/>
      <c r="F144" s="738"/>
      <c r="G144" s="740"/>
      <c r="H144" s="740"/>
      <c r="I144" s="740"/>
      <c r="J144" s="740"/>
      <c r="K144" s="740"/>
      <c r="L144" s="740"/>
      <c r="M144" s="740"/>
      <c r="N144" s="740"/>
      <c r="O144" s="740"/>
      <c r="P144" s="740"/>
      <c r="Q144" s="740"/>
      <c r="R144" s="740"/>
      <c r="S144" s="740"/>
      <c r="T144" s="740"/>
      <c r="U144" s="740"/>
      <c r="V144" s="740"/>
      <c r="W144" s="740"/>
      <c r="X144" s="740"/>
      <c r="Y144" s="740"/>
      <c r="Z144" s="740"/>
    </row>
    <row r="145" spans="1:30" ht="14.25" customHeight="1" thickTop="1" thickBot="1">
      <c r="A145" s="468">
        <v>7</v>
      </c>
      <c r="B145" s="738" t="s">
        <v>1020</v>
      </c>
      <c r="C145" s="738"/>
      <c r="D145" s="738"/>
      <c r="E145" s="738"/>
      <c r="F145" s="738"/>
      <c r="G145" s="1536">
        <v>72470750</v>
      </c>
      <c r="H145" s="1537"/>
      <c r="I145" s="1537"/>
      <c r="J145" s="1537"/>
      <c r="K145" s="1538"/>
      <c r="L145" s="1536"/>
      <c r="M145" s="1537"/>
      <c r="N145" s="1537"/>
      <c r="O145" s="1537"/>
      <c r="P145" s="1538"/>
      <c r="Q145" s="1536"/>
      <c r="R145" s="1537"/>
      <c r="S145" s="1537"/>
      <c r="T145" s="1537"/>
      <c r="U145" s="1538"/>
      <c r="V145" s="1533">
        <f>SUM(G145:U145)</f>
        <v>0</v>
      </c>
      <c r="W145" s="1534"/>
      <c r="X145" s="1534"/>
      <c r="Y145" s="1534"/>
      <c r="Z145" s="1535"/>
      <c r="AA145" s="442"/>
      <c r="AB145" s="442" t="str">
        <f>IF(AND((G141-personalreliefs)&lt;=0),"A",IF(AND((G141-personalreliefs)&lt;=50000000),"B",IF(AND((G141-personalreliefs)&gt;50000000,(G141-personalreliefs)&lt;=250000000),"C",IF(AND((G141-personalreliefs)&gt;250000000,(G141-personalreliefs)&lt;=500000000),"D","E"))))</f>
        <v>A</v>
      </c>
      <c r="AC145" s="442" t="str">
        <f>IF(AND((L141-personalreliefs)&lt;=0),"A",IF(AND((L141-personalreliefs)&lt;=50000000),"B",IF(AND((L141-personalreliefs)&gt;50000000,(L141-personalreliefs)&lt;=250000000),"C",IF(AND((L141-personalreliefs)&gt;250000000,(L141-personalreliefs)&lt;=500000000),"D","E"))))</f>
        <v>A</v>
      </c>
      <c r="AD145" s="442" t="str">
        <f>IF(AND((Q141-personalreliefs)&lt;=0),"A",IF(AND((Q141-personalreliefs)&lt;=50000000),"B",IF(AND((Q141-personalreliefs)&gt;50000000,(Q141-personalreliefs)&lt;=250000000),"C",IF(AND((Q141-personalreliefs)&gt;250000000,(Q141-personalreliefs)&lt;=500000000),"D","E"))))</f>
        <v>A</v>
      </c>
    </row>
    <row r="146" spans="1:28" ht="14.25" customHeight="1" thickTop="1" thickBot="1">
      <c r="A146" s="490"/>
      <c r="B146" s="504"/>
      <c r="C146" s="499"/>
      <c r="D146" s="499"/>
      <c r="E146" s="499"/>
      <c r="F146" s="499"/>
      <c r="G146" s="505"/>
      <c r="H146" s="505"/>
      <c r="I146" s="505"/>
      <c r="J146" s="505"/>
      <c r="K146" s="505"/>
      <c r="L146" s="505"/>
      <c r="M146" s="505"/>
      <c r="N146" s="505"/>
      <c r="O146" s="505"/>
      <c r="P146" s="505"/>
      <c r="Q146" s="505"/>
      <c r="R146" s="505"/>
      <c r="S146" s="505"/>
      <c r="T146" s="505"/>
      <c r="U146" s="505"/>
      <c r="V146" s="506"/>
      <c r="W146" s="506"/>
      <c r="X146" s="506"/>
      <c r="Y146" s="506"/>
      <c r="Z146" s="506"/>
      <c r="AA146" s="340"/>
      <c r="AB146" s="340"/>
    </row>
    <row r="147" spans="1:26" ht="14.25" customHeight="1" thickTop="1" thickBot="1">
      <c r="A147" s="468">
        <v>8</v>
      </c>
      <c r="B147" s="738" t="s">
        <v>227</v>
      </c>
      <c r="C147" s="738"/>
      <c r="D147" s="738"/>
      <c r="E147" s="738"/>
      <c r="F147" s="738"/>
      <c r="G147" s="1536">
        <v>36235375</v>
      </c>
      <c r="H147" s="1537"/>
      <c r="I147" s="1537"/>
      <c r="J147" s="1537"/>
      <c r="K147" s="1538"/>
      <c r="L147" s="1536"/>
      <c r="M147" s="1537"/>
      <c r="N147" s="1537"/>
      <c r="O147" s="1537"/>
      <c r="P147" s="1538"/>
      <c r="Q147" s="1536"/>
      <c r="R147" s="1537"/>
      <c r="S147" s="1537"/>
      <c r="T147" s="1537"/>
      <c r="U147" s="1538"/>
      <c r="V147" s="1533">
        <f>SUM(G147:U147)</f>
        <v>0</v>
      </c>
      <c r="W147" s="1534"/>
      <c r="X147" s="1534"/>
      <c r="Y147" s="1534"/>
      <c r="Z147" s="1535"/>
    </row>
    <row r="148" spans="1:28" ht="13.5" customHeight="1" thickTop="1">
      <c r="A148" s="490"/>
      <c r="B148" s="504"/>
      <c r="C148" s="499"/>
      <c r="D148" s="499"/>
      <c r="E148" s="499"/>
      <c r="F148" s="499"/>
      <c r="G148" s="505"/>
      <c r="H148" s="505"/>
      <c r="I148" s="505"/>
      <c r="J148" s="505"/>
      <c r="K148" s="505"/>
      <c r="L148" s="505"/>
      <c r="M148" s="505"/>
      <c r="N148" s="505"/>
      <c r="O148" s="505"/>
      <c r="P148" s="505"/>
      <c r="Q148" s="505"/>
      <c r="R148" s="505"/>
      <c r="S148" s="505"/>
      <c r="T148" s="505"/>
      <c r="U148" s="505"/>
      <c r="V148" s="506"/>
      <c r="W148" s="506"/>
      <c r="X148" s="506"/>
      <c r="Y148" s="506"/>
      <c r="Z148" s="506"/>
      <c r="AA148" s="340"/>
      <c r="AB148" s="340"/>
    </row>
    <row r="149" spans="1:28" ht="13.5" customHeight="1" thickBot="1">
      <c r="A149" s="490">
        <v>9</v>
      </c>
      <c r="B149" s="499" t="s">
        <v>473</v>
      </c>
      <c r="C149" s="499"/>
      <c r="D149" s="499"/>
      <c r="E149" s="499"/>
      <c r="F149" s="499"/>
      <c r="G149" s="498"/>
      <c r="H149" s="498"/>
      <c r="I149" s="498"/>
      <c r="J149" s="498"/>
      <c r="K149" s="498"/>
      <c r="L149" s="498"/>
      <c r="M149" s="498"/>
      <c r="N149" s="498"/>
      <c r="O149" s="498"/>
      <c r="P149" s="498"/>
      <c r="Q149" s="498"/>
      <c r="R149" s="498"/>
      <c r="S149" s="498"/>
      <c r="T149" s="498"/>
      <c r="U149" s="498"/>
      <c r="V149" s="498"/>
      <c r="W149" s="498"/>
      <c r="X149" s="498"/>
      <c r="Y149" s="498"/>
      <c r="Z149" s="498"/>
      <c r="AA149" s="340"/>
      <c r="AB149" s="340"/>
    </row>
    <row r="150" spans="1:28" ht="14.25" customHeight="1" thickTop="1" thickBot="1">
      <c r="A150" s="490"/>
      <c r="B150" s="499" t="s">
        <v>472</v>
      </c>
      <c r="C150" s="499"/>
      <c r="D150" s="499"/>
      <c r="E150" s="499"/>
      <c r="F150" s="499"/>
      <c r="G150" s="1536">
        <v>231941937</v>
      </c>
      <c r="H150" s="1537"/>
      <c r="I150" s="1537"/>
      <c r="J150" s="1537"/>
      <c r="K150" s="1538"/>
      <c r="L150" s="1536"/>
      <c r="M150" s="1537"/>
      <c r="N150" s="1537"/>
      <c r="O150" s="1537"/>
      <c r="P150" s="1538"/>
      <c r="Q150" s="1536"/>
      <c r="R150" s="1537"/>
      <c r="S150" s="1537"/>
      <c r="T150" s="1537"/>
      <c r="U150" s="1538"/>
      <c r="V150" s="1533">
        <f>SUM(G150:U150)</f>
        <v>0</v>
      </c>
      <c r="W150" s="1534"/>
      <c r="X150" s="1534"/>
      <c r="Y150" s="1534"/>
      <c r="Z150" s="1535"/>
      <c r="AA150" s="340"/>
      <c r="AB150" s="340"/>
    </row>
    <row r="151" spans="1:28" ht="14.25" customHeight="1" thickTop="1" thickBot="1">
      <c r="A151" s="490"/>
      <c r="B151" s="499" t="s">
        <v>471</v>
      </c>
      <c r="C151" s="499"/>
      <c r="D151" s="499"/>
      <c r="E151" s="499"/>
      <c r="F151" s="499"/>
      <c r="G151" s="1536">
        <v>36235375</v>
      </c>
      <c r="H151" s="1537"/>
      <c r="I151" s="1537"/>
      <c r="J151" s="1537"/>
      <c r="K151" s="1538"/>
      <c r="L151" s="1536"/>
      <c r="M151" s="1537"/>
      <c r="N151" s="1537"/>
      <c r="O151" s="1537"/>
      <c r="P151" s="1538"/>
      <c r="Q151" s="1536"/>
      <c r="R151" s="1537"/>
      <c r="S151" s="1537"/>
      <c r="T151" s="1537"/>
      <c r="U151" s="1538"/>
      <c r="V151" s="1533">
        <f>SUM(G151:U151)</f>
        <v>0</v>
      </c>
      <c r="W151" s="1534"/>
      <c r="X151" s="1534"/>
      <c r="Y151" s="1534"/>
      <c r="Z151" s="1535"/>
      <c r="AA151" s="340"/>
      <c r="AB151" s="340"/>
    </row>
    <row r="152" spans="1:28" ht="13.5" customHeight="1" thickTop="1">
      <c r="A152" s="490"/>
      <c r="B152" s="482"/>
      <c r="C152" s="482"/>
      <c r="D152" s="482"/>
      <c r="E152" s="482"/>
      <c r="F152" s="482"/>
      <c r="G152" s="482"/>
      <c r="H152" s="482"/>
      <c r="I152" s="482"/>
      <c r="J152" s="482"/>
      <c r="K152" s="482"/>
      <c r="L152" s="482"/>
      <c r="M152" s="482"/>
      <c r="N152" s="482"/>
      <c r="O152" s="482"/>
      <c r="P152" s="482"/>
      <c r="Q152" s="482"/>
      <c r="R152" s="482"/>
      <c r="S152" s="482"/>
      <c r="T152" s="482"/>
      <c r="U152" s="482"/>
      <c r="V152" s="482"/>
      <c r="W152" s="482"/>
      <c r="X152" s="482"/>
      <c r="Y152" s="482"/>
      <c r="Z152" s="482"/>
      <c r="AA152" s="340"/>
      <c r="AB152" s="340"/>
    </row>
    <row r="153" spans="1:26" s="515" customFormat="1" ht="18" customHeight="1">
      <c r="A153" s="516" t="s">
        <v>258</v>
      </c>
      <c r="B153" s="517"/>
      <c r="C153" s="517"/>
      <c r="D153" s="517"/>
      <c r="E153" s="517"/>
      <c r="F153" s="517"/>
      <c r="G153" s="517"/>
      <c r="H153" s="517"/>
      <c r="I153" s="517" t="s">
        <v>196</v>
      </c>
      <c r="J153" s="517"/>
      <c r="K153" s="517"/>
      <c r="L153" s="517"/>
      <c r="M153" s="517"/>
      <c r="N153" s="517"/>
      <c r="O153" s="517"/>
      <c r="P153" s="517"/>
      <c r="Q153" s="517"/>
      <c r="R153" s="517"/>
      <c r="S153" s="517"/>
      <c r="T153" s="517"/>
      <c r="U153" s="517"/>
      <c r="V153" s="517"/>
      <c r="W153" s="517"/>
      <c r="X153" s="517"/>
      <c r="Y153" s="517"/>
      <c r="Z153" s="517"/>
    </row>
    <row r="154" spans="1:28" ht="13.5" customHeight="1" thickBot="1">
      <c r="A154" s="488"/>
      <c r="B154" s="489"/>
      <c r="C154" s="489"/>
      <c r="D154" s="489"/>
      <c r="E154" s="489"/>
      <c r="F154" s="489"/>
      <c r="G154" s="489"/>
      <c r="H154" s="489"/>
      <c r="I154" s="489"/>
      <c r="J154" s="489"/>
      <c r="K154" s="489"/>
      <c r="L154" s="489"/>
      <c r="M154" s="489"/>
      <c r="N154" s="489"/>
      <c r="O154" s="489"/>
      <c r="P154" s="489"/>
      <c r="Q154" s="489"/>
      <c r="R154" s="489"/>
      <c r="S154" s="489"/>
      <c r="T154" s="489"/>
      <c r="U154" s="489"/>
      <c r="V154" s="489"/>
      <c r="W154" s="489"/>
      <c r="X154" s="489"/>
      <c r="Y154" s="489"/>
      <c r="Z154" s="489"/>
      <c r="AA154" s="340"/>
      <c r="AB154" s="340"/>
    </row>
    <row r="155" spans="1:28" ht="14.25" customHeight="1" thickTop="1" thickBot="1">
      <c r="A155" s="490"/>
      <c r="B155" s="482"/>
      <c r="C155" s="482"/>
      <c r="D155" s="482"/>
      <c r="E155" s="482"/>
      <c r="F155" s="482"/>
      <c r="G155" s="482"/>
      <c r="H155" s="482"/>
      <c r="I155" s="482"/>
      <c r="J155" s="482"/>
      <c r="K155" s="482"/>
      <c r="L155" s="1610" t="s">
        <v>228</v>
      </c>
      <c r="M155" s="1611"/>
      <c r="N155" s="1611"/>
      <c r="O155" s="1611"/>
      <c r="P155" s="1612"/>
      <c r="Q155" s="1608" t="s">
        <v>259</v>
      </c>
      <c r="R155" s="1609"/>
      <c r="S155" s="1609"/>
      <c r="T155" s="1609"/>
      <c r="U155" s="1609"/>
      <c r="V155" s="1608" t="s">
        <v>260</v>
      </c>
      <c r="W155" s="1609"/>
      <c r="X155" s="1609"/>
      <c r="Y155" s="1609"/>
      <c r="Z155" s="1609"/>
      <c r="AA155" s="340"/>
      <c r="AB155" s="340"/>
    </row>
    <row r="156" spans="1:28" ht="14.25" customHeight="1" thickTop="1" thickBot="1">
      <c r="A156" s="490">
        <v>1</v>
      </c>
      <c r="B156" s="482" t="s">
        <v>261</v>
      </c>
      <c r="C156" s="482"/>
      <c r="D156" s="482"/>
      <c r="E156" s="482"/>
      <c r="F156" s="482"/>
      <c r="G156" s="482"/>
      <c r="H156" s="482"/>
      <c r="I156" s="482"/>
      <c r="J156" s="482"/>
      <c r="K156" s="482"/>
      <c r="L156" s="1594"/>
      <c r="M156" s="1595"/>
      <c r="N156" s="1595"/>
      <c r="O156" s="1595"/>
      <c r="P156" s="1596"/>
      <c r="Q156" s="1594"/>
      <c r="R156" s="1595"/>
      <c r="S156" s="1595"/>
      <c r="T156" s="1595"/>
      <c r="U156" s="1596"/>
      <c r="V156" s="1597">
        <f t="shared" si="1" ref="V156:V161">L156-Q156</f>
        <v>0</v>
      </c>
      <c r="W156" s="1598"/>
      <c r="X156" s="1598"/>
      <c r="Y156" s="1598"/>
      <c r="Z156" s="1599"/>
      <c r="AA156" s="340"/>
      <c r="AB156" s="340"/>
    </row>
    <row r="157" spans="1:28" ht="14.25" customHeight="1" thickTop="1" thickBot="1">
      <c r="A157" s="490">
        <v>2</v>
      </c>
      <c r="B157" s="482" t="s">
        <v>262</v>
      </c>
      <c r="C157" s="482"/>
      <c r="D157" s="482"/>
      <c r="E157" s="482"/>
      <c r="F157" s="482"/>
      <c r="G157" s="482"/>
      <c r="H157" s="482"/>
      <c r="I157" s="482"/>
      <c r="J157" s="482"/>
      <c r="K157" s="482"/>
      <c r="L157" s="1594"/>
      <c r="M157" s="1595"/>
      <c r="N157" s="1595"/>
      <c r="O157" s="1595"/>
      <c r="P157" s="1596"/>
      <c r="Q157" s="1594"/>
      <c r="R157" s="1595"/>
      <c r="S157" s="1595"/>
      <c r="T157" s="1595"/>
      <c r="U157" s="1596"/>
      <c r="V157" s="1597">
        <f t="shared" si="1">L157-Q157</f>
        <v>0</v>
      </c>
      <c r="W157" s="1598"/>
      <c r="X157" s="1598"/>
      <c r="Y157" s="1598"/>
      <c r="Z157" s="1599"/>
      <c r="AA157" s="340"/>
      <c r="AB157" s="340"/>
    </row>
    <row r="158" spans="1:28" ht="14.25" customHeight="1" thickTop="1" thickBot="1">
      <c r="A158" s="490">
        <v>3</v>
      </c>
      <c r="B158" s="482" t="s">
        <v>189</v>
      </c>
      <c r="C158" s="482"/>
      <c r="D158" s="482"/>
      <c r="E158" s="482"/>
      <c r="F158" s="482"/>
      <c r="G158" s="482"/>
      <c r="H158" s="482"/>
      <c r="I158" s="482"/>
      <c r="J158" s="482"/>
      <c r="K158" s="482"/>
      <c r="L158" s="1594"/>
      <c r="M158" s="1595"/>
      <c r="N158" s="1595"/>
      <c r="O158" s="1595"/>
      <c r="P158" s="1596"/>
      <c r="Q158" s="1594"/>
      <c r="R158" s="1595"/>
      <c r="S158" s="1595"/>
      <c r="T158" s="1595"/>
      <c r="U158" s="1596"/>
      <c r="V158" s="1597">
        <f t="shared" si="1">L158-Q158</f>
        <v>0</v>
      </c>
      <c r="W158" s="1598"/>
      <c r="X158" s="1598"/>
      <c r="Y158" s="1598"/>
      <c r="Z158" s="1599"/>
      <c r="AA158" s="340"/>
      <c r="AB158" s="340"/>
    </row>
    <row r="159" spans="1:28" ht="14.25" customHeight="1" thickTop="1" thickBot="1">
      <c r="A159" s="490">
        <v>4</v>
      </c>
      <c r="B159" s="482" t="s">
        <v>263</v>
      </c>
      <c r="C159" s="482"/>
      <c r="D159" s="482"/>
      <c r="E159" s="482"/>
      <c r="F159" s="482"/>
      <c r="G159" s="482"/>
      <c r="H159" s="482"/>
      <c r="I159" s="482"/>
      <c r="J159" s="482"/>
      <c r="K159" s="482"/>
      <c r="L159" s="1594"/>
      <c r="M159" s="1595"/>
      <c r="N159" s="1595"/>
      <c r="O159" s="1595"/>
      <c r="P159" s="1596"/>
      <c r="Q159" s="1594"/>
      <c r="R159" s="1595"/>
      <c r="S159" s="1595"/>
      <c r="T159" s="1595"/>
      <c r="U159" s="1596"/>
      <c r="V159" s="1597">
        <f t="shared" si="1">L159-Q159</f>
        <v>0</v>
      </c>
      <c r="W159" s="1598"/>
      <c r="X159" s="1598"/>
      <c r="Y159" s="1598"/>
      <c r="Z159" s="1599"/>
      <c r="AA159" s="340"/>
      <c r="AB159" s="340"/>
    </row>
    <row r="160" spans="1:28" ht="14.25" customHeight="1" thickTop="1" thickBot="1">
      <c r="A160" s="490">
        <v>5</v>
      </c>
      <c r="B160" s="482" t="s">
        <v>264</v>
      </c>
      <c r="C160" s="482"/>
      <c r="D160" s="482"/>
      <c r="E160" s="482"/>
      <c r="F160" s="482"/>
      <c r="G160" s="482"/>
      <c r="H160" s="482"/>
      <c r="I160" s="482"/>
      <c r="J160" s="482"/>
      <c r="K160" s="482"/>
      <c r="L160" s="1594"/>
      <c r="M160" s="1595"/>
      <c r="N160" s="1595"/>
      <c r="O160" s="1595"/>
      <c r="P160" s="1596"/>
      <c r="Q160" s="1594"/>
      <c r="R160" s="1595"/>
      <c r="S160" s="1595"/>
      <c r="T160" s="1595"/>
      <c r="U160" s="1596"/>
      <c r="V160" s="1597">
        <f t="shared" si="1">L160-Q160</f>
        <v>0</v>
      </c>
      <c r="W160" s="1598"/>
      <c r="X160" s="1598"/>
      <c r="Y160" s="1598"/>
      <c r="Z160" s="1599"/>
      <c r="AA160" s="340"/>
      <c r="AB160" s="340"/>
    </row>
    <row r="161" spans="1:28" ht="14.25" customHeight="1" thickTop="1" thickBot="1">
      <c r="A161" s="490">
        <v>6</v>
      </c>
      <c r="B161" s="482" t="s">
        <v>265</v>
      </c>
      <c r="C161" s="482"/>
      <c r="D161" s="482"/>
      <c r="E161" s="482"/>
      <c r="F161" s="482"/>
      <c r="G161" s="482"/>
      <c r="H161" s="482"/>
      <c r="I161" s="482"/>
      <c r="J161" s="482"/>
      <c r="K161" s="482"/>
      <c r="L161" s="1594"/>
      <c r="M161" s="1595"/>
      <c r="N161" s="1595"/>
      <c r="O161" s="1595"/>
      <c r="P161" s="1596"/>
      <c r="Q161" s="1594"/>
      <c r="R161" s="1595"/>
      <c r="S161" s="1595"/>
      <c r="T161" s="1595"/>
      <c r="U161" s="1596"/>
      <c r="V161" s="1597">
        <f t="shared" si="1">L161-Q161</f>
        <v>0</v>
      </c>
      <c r="W161" s="1598"/>
      <c r="X161" s="1598"/>
      <c r="Y161" s="1598"/>
      <c r="Z161" s="1599"/>
      <c r="AA161" s="340"/>
      <c r="AB161" s="340"/>
    </row>
    <row r="162" spans="1:28" ht="14.25" customHeight="1" thickTop="1" thickBot="1">
      <c r="A162" s="490"/>
      <c r="B162" s="482"/>
      <c r="C162" s="482"/>
      <c r="D162" s="482"/>
      <c r="E162" s="482"/>
      <c r="F162" s="482"/>
      <c r="G162" s="482"/>
      <c r="H162" s="482"/>
      <c r="I162" s="482"/>
      <c r="J162" s="482"/>
      <c r="K162" s="482"/>
      <c r="L162" s="507"/>
      <c r="M162" s="507"/>
      <c r="N162" s="507"/>
      <c r="O162" s="507"/>
      <c r="P162" s="507"/>
      <c r="Q162" s="507"/>
      <c r="R162" s="507"/>
      <c r="S162" s="507"/>
      <c r="T162" s="507"/>
      <c r="U162" s="507"/>
      <c r="V162" s="508"/>
      <c r="W162" s="508"/>
      <c r="X162" s="508"/>
      <c r="Y162" s="508"/>
      <c r="Z162" s="508"/>
      <c r="AA162" s="340"/>
      <c r="AB162" s="340"/>
    </row>
    <row r="163" spans="1:28" ht="14.25" customHeight="1" thickTop="1" thickBot="1">
      <c r="A163" s="490"/>
      <c r="B163" s="482" t="s">
        <v>234</v>
      </c>
      <c r="C163" s="482"/>
      <c r="D163" s="482"/>
      <c r="E163" s="482"/>
      <c r="F163" s="482"/>
      <c r="G163" s="482"/>
      <c r="H163" s="482"/>
      <c r="I163" s="482"/>
      <c r="J163" s="482"/>
      <c r="K163" s="482"/>
      <c r="L163" s="1619">
        <f>SUM(L156:P161)</f>
        <v>0</v>
      </c>
      <c r="M163" s="1620"/>
      <c r="N163" s="1620"/>
      <c r="O163" s="1620"/>
      <c r="P163" s="1621"/>
      <c r="Q163" s="1619">
        <f>SUM(Q156:U161)</f>
        <v>0</v>
      </c>
      <c r="R163" s="1620"/>
      <c r="S163" s="1620"/>
      <c r="T163" s="1620"/>
      <c r="U163" s="1621"/>
      <c r="V163" s="1619">
        <f>SUM(V156:Z161)</f>
        <v>0</v>
      </c>
      <c r="W163" s="1620"/>
      <c r="X163" s="1620"/>
      <c r="Y163" s="1620"/>
      <c r="Z163" s="1621"/>
      <c r="AA163" s="340"/>
      <c r="AB163" s="340"/>
    </row>
    <row r="164" spans="1:28" ht="14.25" customHeight="1" thickTop="1" thickBot="1">
      <c r="A164" s="490"/>
      <c r="B164" s="482"/>
      <c r="C164" s="482"/>
      <c r="D164" s="482"/>
      <c r="E164" s="482"/>
      <c r="F164" s="482"/>
      <c r="G164" s="482"/>
      <c r="H164" s="482"/>
      <c r="I164" s="482"/>
      <c r="J164" s="482"/>
      <c r="K164" s="482"/>
      <c r="L164" s="482"/>
      <c r="M164" s="482"/>
      <c r="N164" s="482"/>
      <c r="O164" s="482"/>
      <c r="P164" s="482"/>
      <c r="Q164" s="482"/>
      <c r="R164" s="482"/>
      <c r="S164" s="482"/>
      <c r="T164" s="482"/>
      <c r="U164" s="482"/>
      <c r="V164" s="498"/>
      <c r="W164" s="498"/>
      <c r="X164" s="498"/>
      <c r="Y164" s="498"/>
      <c r="Z164" s="498"/>
      <c r="AA164" s="340"/>
      <c r="AB164" s="340"/>
    </row>
    <row r="165" spans="1:28" ht="14.25" customHeight="1" thickTop="1" thickBot="1">
      <c r="A165" s="490">
        <v>7</v>
      </c>
      <c r="B165" s="482" t="s">
        <v>266</v>
      </c>
      <c r="C165" s="482"/>
      <c r="D165" s="482"/>
      <c r="E165" s="482"/>
      <c r="F165" s="482"/>
      <c r="G165" s="482"/>
      <c r="H165" s="482"/>
      <c r="I165" s="482"/>
      <c r="J165" s="482"/>
      <c r="K165" s="482"/>
      <c r="L165" s="1594"/>
      <c r="M165" s="1595"/>
      <c r="N165" s="1595"/>
      <c r="O165" s="1595"/>
      <c r="P165" s="1596"/>
      <c r="Q165" s="1536"/>
      <c r="R165" s="1537"/>
      <c r="S165" s="1537"/>
      <c r="T165" s="1537"/>
      <c r="U165" s="1538"/>
      <c r="V165" s="1597">
        <f>L165-Q165</f>
        <v>0</v>
      </c>
      <c r="W165" s="1598"/>
      <c r="X165" s="1598"/>
      <c r="Y165" s="1598"/>
      <c r="Z165" s="1599"/>
      <c r="AA165" s="340"/>
      <c r="AB165" s="340"/>
    </row>
    <row r="166" spans="1:28" ht="14.25" customHeight="1" thickTop="1" thickBot="1">
      <c r="A166" s="490">
        <v>8</v>
      </c>
      <c r="B166" s="482" t="s">
        <v>267</v>
      </c>
      <c r="C166" s="482"/>
      <c r="D166" s="482"/>
      <c r="E166" s="482"/>
      <c r="F166" s="482"/>
      <c r="G166" s="482"/>
      <c r="H166" s="482"/>
      <c r="I166" s="482"/>
      <c r="J166" s="482"/>
      <c r="K166" s="482"/>
      <c r="L166" s="482"/>
      <c r="M166" s="482"/>
      <c r="N166" s="482"/>
      <c r="O166" s="482"/>
      <c r="P166" s="482"/>
      <c r="Q166" s="482"/>
      <c r="R166" s="482"/>
      <c r="S166" s="482"/>
      <c r="T166" s="482"/>
      <c r="U166" s="482"/>
      <c r="V166" s="1583"/>
      <c r="W166" s="1584"/>
      <c r="X166" s="1584"/>
      <c r="Y166" s="1584"/>
      <c r="Z166" s="1585"/>
      <c r="AA166" s="340"/>
      <c r="AB166" s="340"/>
    </row>
    <row r="167" spans="1:28" ht="13.5" customHeight="1" thickTop="1">
      <c r="A167" s="490"/>
      <c r="B167" s="482"/>
      <c r="C167" s="482"/>
      <c r="D167" s="482"/>
      <c r="E167" s="482"/>
      <c r="F167" s="482"/>
      <c r="G167" s="482"/>
      <c r="H167" s="482"/>
      <c r="I167" s="482"/>
      <c r="J167" s="482"/>
      <c r="K167" s="482"/>
      <c r="L167" s="482"/>
      <c r="M167" s="482"/>
      <c r="N167" s="482"/>
      <c r="O167" s="482"/>
      <c r="P167" s="482"/>
      <c r="Q167" s="482"/>
      <c r="R167" s="482"/>
      <c r="S167" s="482"/>
      <c r="T167" s="482"/>
      <c r="U167" s="482"/>
      <c r="V167" s="482"/>
      <c r="W167" s="482"/>
      <c r="X167" s="482"/>
      <c r="Y167" s="482"/>
      <c r="Z167" s="482"/>
      <c r="AA167" s="340"/>
      <c r="AB167" s="340"/>
    </row>
    <row r="168" spans="1:26" s="515" customFormat="1" ht="18" customHeight="1">
      <c r="A168" s="513" t="s">
        <v>315</v>
      </c>
      <c r="B168" s="514"/>
      <c r="C168" s="514"/>
      <c r="D168" s="514"/>
      <c r="E168" s="514"/>
      <c r="F168" s="514"/>
      <c r="G168" s="514"/>
      <c r="H168" s="514"/>
      <c r="I168" s="514"/>
      <c r="J168" s="514"/>
      <c r="K168" s="514"/>
      <c r="L168" s="514"/>
      <c r="M168" s="514"/>
      <c r="N168" s="514"/>
      <c r="O168" s="514"/>
      <c r="P168" s="514"/>
      <c r="Q168" s="514"/>
      <c r="R168" s="514"/>
      <c r="S168" s="514"/>
      <c r="T168" s="514"/>
      <c r="U168" s="514"/>
      <c r="V168" s="514"/>
      <c r="W168" s="514"/>
      <c r="X168" s="514"/>
      <c r="Y168" s="520"/>
      <c r="Z168" s="520"/>
    </row>
    <row r="169" spans="1:28" ht="13.5" customHeight="1" thickBot="1">
      <c r="A169" s="483"/>
      <c r="B169" s="476"/>
      <c r="C169" s="476"/>
      <c r="D169" s="476"/>
      <c r="E169" s="476"/>
      <c r="F169" s="476" t="s">
        <v>197</v>
      </c>
      <c r="G169" s="476"/>
      <c r="H169" s="476"/>
      <c r="I169" s="476"/>
      <c r="J169" s="476"/>
      <c r="K169" s="476"/>
      <c r="L169" s="476"/>
      <c r="M169" s="476"/>
      <c r="N169" s="476"/>
      <c r="O169" s="476"/>
      <c r="P169" s="476"/>
      <c r="Q169" s="476"/>
      <c r="R169" s="476"/>
      <c r="S169" s="476"/>
      <c r="T169" s="476"/>
      <c r="U169" s="476"/>
      <c r="V169" s="476"/>
      <c r="W169" s="476"/>
      <c r="X169" s="476"/>
      <c r="Y169" s="475"/>
      <c r="Z169" s="475"/>
      <c r="AA169" s="340"/>
      <c r="AB169" s="340"/>
    </row>
    <row r="170" spans="1:28" ht="14.25" customHeight="1" thickTop="1" thickBot="1">
      <c r="A170" s="478"/>
      <c r="B170" s="475"/>
      <c r="C170" s="475"/>
      <c r="D170" s="475"/>
      <c r="E170" s="475"/>
      <c r="F170" s="475"/>
      <c r="G170" s="475"/>
      <c r="H170" s="475"/>
      <c r="I170" s="475"/>
      <c r="J170" s="475"/>
      <c r="K170" s="475"/>
      <c r="L170" s="475"/>
      <c r="M170" s="475"/>
      <c r="N170" s="475"/>
      <c r="O170" s="1591" t="s">
        <v>228</v>
      </c>
      <c r="P170" s="1592"/>
      <c r="Q170" s="1592"/>
      <c r="R170" s="1592"/>
      <c r="S170" s="1593"/>
      <c r="T170" s="1589" t="s">
        <v>191</v>
      </c>
      <c r="U170" s="1590"/>
      <c r="V170" s="1590"/>
      <c r="W170" s="1590"/>
      <c r="X170" s="1590"/>
      <c r="Y170" s="475"/>
      <c r="Z170" s="475"/>
      <c r="AA170" s="340"/>
      <c r="AB170" s="340"/>
    </row>
    <row r="171" spans="1:28" ht="16.5" customHeight="1" thickTop="1" thickBot="1">
      <c r="A171" s="229"/>
      <c r="B171" s="308" t="s">
        <v>443</v>
      </c>
      <c r="C171" s="308"/>
      <c r="D171" s="308"/>
      <c r="E171" s="308"/>
      <c r="F171" s="308"/>
      <c r="G171" s="308"/>
      <c r="H171" s="308"/>
      <c r="I171" s="308"/>
      <c r="J171" s="308"/>
      <c r="K171" s="308"/>
      <c r="L171" s="509"/>
      <c r="M171" s="475"/>
      <c r="N171" s="475"/>
      <c r="O171" s="475"/>
      <c r="P171" s="475"/>
      <c r="Q171" s="475"/>
      <c r="R171" s="475"/>
      <c r="S171" s="475"/>
      <c r="T171" s="475"/>
      <c r="U171" s="475"/>
      <c r="V171" s="475"/>
      <c r="W171" s="475"/>
      <c r="X171" s="475"/>
      <c r="Y171" s="475"/>
      <c r="Z171" s="475"/>
      <c r="AA171" s="340"/>
      <c r="AB171" s="340"/>
    </row>
    <row r="172" spans="1:28" ht="14.25" customHeight="1" thickTop="1" thickBot="1">
      <c r="A172" s="478">
        <v>1</v>
      </c>
      <c r="B172" s="475" t="s">
        <v>439</v>
      </c>
      <c r="C172" s="475"/>
      <c r="D172" s="475"/>
      <c r="E172" s="475"/>
      <c r="F172" s="475"/>
      <c r="G172" s="475"/>
      <c r="H172" s="475"/>
      <c r="I172" s="475"/>
      <c r="J172" s="475"/>
      <c r="K172" s="475"/>
      <c r="L172" s="475"/>
      <c r="M172" s="475"/>
      <c r="N172" s="475"/>
      <c r="O172" s="1594"/>
      <c r="P172" s="1595"/>
      <c r="Q172" s="1595"/>
      <c r="R172" s="1595"/>
      <c r="S172" s="1596"/>
      <c r="T172" s="1586"/>
      <c r="U172" s="1587"/>
      <c r="V172" s="1587"/>
      <c r="W172" s="1587"/>
      <c r="X172" s="1588"/>
      <c r="Y172" s="475"/>
      <c r="Z172" s="475"/>
      <c r="AA172" s="340"/>
      <c r="AB172" s="340"/>
    </row>
    <row r="173" spans="1:28" ht="14.25" customHeight="1" thickTop="1" thickBot="1">
      <c r="A173" s="478">
        <v>2</v>
      </c>
      <c r="B173" s="475" t="s">
        <v>440</v>
      </c>
      <c r="C173" s="475"/>
      <c r="D173" s="475"/>
      <c r="E173" s="475"/>
      <c r="F173" s="475"/>
      <c r="G173" s="475"/>
      <c r="H173" s="475"/>
      <c r="I173" s="475"/>
      <c r="J173" s="475"/>
      <c r="K173" s="475"/>
      <c r="L173" s="475"/>
      <c r="M173" s="475"/>
      <c r="N173" s="475"/>
      <c r="O173" s="1594"/>
      <c r="P173" s="1595"/>
      <c r="Q173" s="1595"/>
      <c r="R173" s="1595"/>
      <c r="S173" s="1596"/>
      <c r="T173" s="1586"/>
      <c r="U173" s="1587"/>
      <c r="V173" s="1587"/>
      <c r="W173" s="1587"/>
      <c r="X173" s="1588"/>
      <c r="Y173" s="475"/>
      <c r="Z173" s="475"/>
      <c r="AA173" s="340"/>
      <c r="AB173" s="340"/>
    </row>
    <row r="174" spans="1:28" ht="14.25" customHeight="1" thickTop="1" thickBot="1">
      <c r="A174" s="478">
        <v>3</v>
      </c>
      <c r="B174" s="475" t="s">
        <v>441</v>
      </c>
      <c r="C174" s="475"/>
      <c r="D174" s="475"/>
      <c r="E174" s="475"/>
      <c r="F174" s="475"/>
      <c r="G174" s="475"/>
      <c r="H174" s="475"/>
      <c r="I174" s="475"/>
      <c r="J174" s="475"/>
      <c r="K174" s="475"/>
      <c r="L174" s="475"/>
      <c r="M174" s="475"/>
      <c r="N174" s="475"/>
      <c r="O174" s="1594"/>
      <c r="P174" s="1595"/>
      <c r="Q174" s="1595"/>
      <c r="R174" s="1595"/>
      <c r="S174" s="1596"/>
      <c r="T174" s="1586"/>
      <c r="U174" s="1587"/>
      <c r="V174" s="1587"/>
      <c r="W174" s="1587"/>
      <c r="X174" s="1588"/>
      <c r="Y174" s="475"/>
      <c r="Z174" s="475"/>
      <c r="AA174" s="340"/>
      <c r="AB174" s="340"/>
    </row>
    <row r="175" spans="1:28" ht="14.25" customHeight="1" thickTop="1" thickBot="1">
      <c r="A175" s="478">
        <v>4</v>
      </c>
      <c r="B175" s="475" t="s">
        <v>229</v>
      </c>
      <c r="C175" s="475"/>
      <c r="D175" s="475"/>
      <c r="E175" s="475"/>
      <c r="F175" s="475"/>
      <c r="G175" s="475"/>
      <c r="H175" s="475"/>
      <c r="I175" s="475"/>
      <c r="J175" s="475"/>
      <c r="K175" s="475"/>
      <c r="L175" s="475"/>
      <c r="M175" s="475"/>
      <c r="N175" s="475"/>
      <c r="O175" s="1594"/>
      <c r="P175" s="1595"/>
      <c r="Q175" s="1595"/>
      <c r="R175" s="1595"/>
      <c r="S175" s="1596"/>
      <c r="T175" s="1586"/>
      <c r="U175" s="1587"/>
      <c r="V175" s="1587"/>
      <c r="W175" s="1587"/>
      <c r="X175" s="1588"/>
      <c r="Y175" s="475"/>
      <c r="Z175" s="475"/>
      <c r="AA175" s="340"/>
      <c r="AB175" s="340"/>
    </row>
    <row r="176" spans="1:28" ht="14.25" customHeight="1" thickTop="1" thickBot="1">
      <c r="A176" s="478">
        <v>5</v>
      </c>
      <c r="B176" s="475" t="s">
        <v>230</v>
      </c>
      <c r="C176" s="475"/>
      <c r="D176" s="475"/>
      <c r="E176" s="475"/>
      <c r="F176" s="475"/>
      <c r="G176" s="475"/>
      <c r="H176" s="475"/>
      <c r="I176" s="475"/>
      <c r="J176" s="475"/>
      <c r="K176" s="475"/>
      <c r="L176" s="475"/>
      <c r="M176" s="475"/>
      <c r="N176" s="475"/>
      <c r="O176" s="1594"/>
      <c r="P176" s="1595"/>
      <c r="Q176" s="1595"/>
      <c r="R176" s="1595"/>
      <c r="S176" s="1596"/>
      <c r="T176" s="1586"/>
      <c r="U176" s="1587"/>
      <c r="V176" s="1587"/>
      <c r="W176" s="1587"/>
      <c r="X176" s="1588"/>
      <c r="Y176" s="475"/>
      <c r="Z176" s="475"/>
      <c r="AA176" s="340"/>
      <c r="AB176" s="340"/>
    </row>
    <row r="177" spans="1:28" ht="14.25" customHeight="1" thickTop="1" thickBot="1">
      <c r="A177" s="478">
        <v>6</v>
      </c>
      <c r="B177" s="475" t="s">
        <v>231</v>
      </c>
      <c r="C177" s="475"/>
      <c r="D177" s="475"/>
      <c r="E177" s="475"/>
      <c r="F177" s="475"/>
      <c r="G177" s="475"/>
      <c r="H177" s="475"/>
      <c r="I177" s="475"/>
      <c r="J177" s="475"/>
      <c r="K177" s="475"/>
      <c r="L177" s="475"/>
      <c r="M177" s="475"/>
      <c r="N177" s="475"/>
      <c r="O177" s="1594"/>
      <c r="P177" s="1595"/>
      <c r="Q177" s="1595"/>
      <c r="R177" s="1595"/>
      <c r="S177" s="1596"/>
      <c r="T177" s="1586"/>
      <c r="U177" s="1587"/>
      <c r="V177" s="1587"/>
      <c r="W177" s="1587"/>
      <c r="X177" s="1588"/>
      <c r="Y177" s="475"/>
      <c r="Z177" s="475"/>
      <c r="AA177" s="340"/>
      <c r="AB177" s="340"/>
    </row>
    <row r="178" spans="1:28" ht="14.25" customHeight="1" thickTop="1" thickBot="1">
      <c r="A178" s="478">
        <v>7</v>
      </c>
      <c r="B178" s="475" t="s">
        <v>444</v>
      </c>
      <c r="C178" s="475"/>
      <c r="D178" s="475"/>
      <c r="E178" s="475"/>
      <c r="F178" s="475"/>
      <c r="G178" s="475"/>
      <c r="H178" s="475"/>
      <c r="I178" s="475"/>
      <c r="J178" s="475"/>
      <c r="K178" s="475"/>
      <c r="L178" s="475"/>
      <c r="M178" s="475"/>
      <c r="N178" s="475"/>
      <c r="O178" s="1594"/>
      <c r="P178" s="1595"/>
      <c r="Q178" s="1595"/>
      <c r="R178" s="1595"/>
      <c r="S178" s="1596"/>
      <c r="T178" s="1586"/>
      <c r="U178" s="1587"/>
      <c r="V178" s="1587"/>
      <c r="W178" s="1587"/>
      <c r="X178" s="1588"/>
      <c r="Y178" s="475"/>
      <c r="Z178" s="475"/>
      <c r="AA178" s="340"/>
      <c r="AB178" s="340"/>
    </row>
    <row r="179" spans="1:28" ht="14.25" customHeight="1" thickTop="1" thickBot="1">
      <c r="A179" s="478">
        <v>8</v>
      </c>
      <c r="B179" s="475" t="s">
        <v>232</v>
      </c>
      <c r="C179" s="475"/>
      <c r="D179" s="475"/>
      <c r="E179" s="475"/>
      <c r="F179" s="475"/>
      <c r="G179" s="475"/>
      <c r="H179" s="475"/>
      <c r="I179" s="475"/>
      <c r="J179" s="475"/>
      <c r="K179" s="475"/>
      <c r="L179" s="475"/>
      <c r="M179" s="475"/>
      <c r="N179" s="475"/>
      <c r="O179" s="1594"/>
      <c r="P179" s="1595"/>
      <c r="Q179" s="1595"/>
      <c r="R179" s="1595"/>
      <c r="S179" s="1596"/>
      <c r="T179" s="1586"/>
      <c r="U179" s="1587"/>
      <c r="V179" s="1587"/>
      <c r="W179" s="1587"/>
      <c r="X179" s="1588"/>
      <c r="Y179" s="475"/>
      <c r="Z179" s="475"/>
      <c r="AA179" s="340"/>
      <c r="AB179" s="340"/>
    </row>
    <row r="180" spans="1:28" ht="14.25" customHeight="1" thickTop="1" thickBot="1">
      <c r="A180" s="478">
        <v>9</v>
      </c>
      <c r="B180" s="475" t="s">
        <v>445</v>
      </c>
      <c r="C180" s="475"/>
      <c r="D180" s="475"/>
      <c r="E180" s="475"/>
      <c r="F180" s="475"/>
      <c r="G180" s="475"/>
      <c r="H180" s="475"/>
      <c r="I180" s="475"/>
      <c r="J180" s="475"/>
      <c r="K180" s="475"/>
      <c r="L180" s="475"/>
      <c r="M180" s="475"/>
      <c r="N180" s="475"/>
      <c r="O180" s="1594"/>
      <c r="P180" s="1595"/>
      <c r="Q180" s="1595"/>
      <c r="R180" s="1595"/>
      <c r="S180" s="1596"/>
      <c r="T180" s="1586"/>
      <c r="U180" s="1587"/>
      <c r="V180" s="1587"/>
      <c r="W180" s="1587"/>
      <c r="X180" s="1588"/>
      <c r="Y180" s="475"/>
      <c r="Z180" s="475"/>
      <c r="AA180" s="340"/>
      <c r="AB180" s="340"/>
    </row>
    <row r="181" spans="1:28" ht="14.25" customHeight="1" thickTop="1" thickBot="1">
      <c r="A181" s="478">
        <v>10</v>
      </c>
      <c r="B181" s="475" t="s">
        <v>446</v>
      </c>
      <c r="C181" s="475"/>
      <c r="D181" s="475"/>
      <c r="E181" s="475"/>
      <c r="F181" s="475"/>
      <c r="G181" s="475"/>
      <c r="H181" s="475"/>
      <c r="I181" s="475"/>
      <c r="J181" s="475"/>
      <c r="K181" s="475"/>
      <c r="L181" s="475"/>
      <c r="M181" s="475"/>
      <c r="N181" s="475"/>
      <c r="O181" s="1594"/>
      <c r="P181" s="1595"/>
      <c r="Q181" s="1595"/>
      <c r="R181" s="1595"/>
      <c r="S181" s="1596"/>
      <c r="T181" s="1586"/>
      <c r="U181" s="1587"/>
      <c r="V181" s="1587"/>
      <c r="W181" s="1587"/>
      <c r="X181" s="1588"/>
      <c r="Y181" s="475"/>
      <c r="Z181" s="475"/>
      <c r="AA181" s="340"/>
      <c r="AB181" s="340"/>
    </row>
    <row r="182" spans="1:28" ht="14.25" customHeight="1" thickTop="1" thickBot="1">
      <c r="A182" s="478">
        <v>11</v>
      </c>
      <c r="B182" s="475" t="s">
        <v>442</v>
      </c>
      <c r="C182" s="475"/>
      <c r="D182" s="475"/>
      <c r="E182" s="475"/>
      <c r="F182" s="475"/>
      <c r="G182" s="475"/>
      <c r="H182" s="475"/>
      <c r="I182" s="475"/>
      <c r="J182" s="475"/>
      <c r="K182" s="475"/>
      <c r="L182" s="475"/>
      <c r="M182" s="475"/>
      <c r="N182" s="475"/>
      <c r="O182" s="1594"/>
      <c r="P182" s="1595"/>
      <c r="Q182" s="1595"/>
      <c r="R182" s="1595"/>
      <c r="S182" s="1596"/>
      <c r="T182" s="1586"/>
      <c r="U182" s="1587"/>
      <c r="V182" s="1587"/>
      <c r="W182" s="1587"/>
      <c r="X182" s="1588"/>
      <c r="Y182" s="475"/>
      <c r="Z182" s="475"/>
      <c r="AA182" s="340"/>
      <c r="AB182" s="340"/>
    </row>
    <row r="183" spans="1:28" ht="14.25" customHeight="1" thickTop="1" thickBot="1">
      <c r="A183" s="478">
        <v>12</v>
      </c>
      <c r="B183" s="475" t="s">
        <v>256</v>
      </c>
      <c r="C183" s="475"/>
      <c r="D183" s="475"/>
      <c r="E183" s="475"/>
      <c r="F183" s="475"/>
      <c r="G183" s="475"/>
      <c r="H183" s="475"/>
      <c r="I183" s="475"/>
      <c r="J183" s="475"/>
      <c r="K183" s="475"/>
      <c r="L183" s="475"/>
      <c r="M183" s="475"/>
      <c r="N183" s="475"/>
      <c r="O183" s="1594"/>
      <c r="P183" s="1595"/>
      <c r="Q183" s="1595"/>
      <c r="R183" s="1595"/>
      <c r="S183" s="1596"/>
      <c r="T183" s="1586"/>
      <c r="U183" s="1587"/>
      <c r="V183" s="1587"/>
      <c r="W183" s="1587"/>
      <c r="X183" s="1588"/>
      <c r="Y183" s="475"/>
      <c r="Z183" s="475"/>
      <c r="AA183" s="340"/>
      <c r="AB183" s="340"/>
    </row>
    <row r="184" spans="1:28" ht="14.25" customHeight="1" thickTop="1" thickBot="1">
      <c r="A184" s="478">
        <v>13</v>
      </c>
      <c r="B184" s="475" t="s">
        <v>235</v>
      </c>
      <c r="C184" s="475"/>
      <c r="D184" s="475"/>
      <c r="E184" s="475"/>
      <c r="F184" s="475"/>
      <c r="G184" s="475"/>
      <c r="H184" s="475"/>
      <c r="I184" s="475"/>
      <c r="J184" s="475"/>
      <c r="K184" s="475"/>
      <c r="L184" s="475"/>
      <c r="M184" s="475"/>
      <c r="N184" s="475"/>
      <c r="O184" s="1594"/>
      <c r="P184" s="1595"/>
      <c r="Q184" s="1595"/>
      <c r="R184" s="1595"/>
      <c r="S184" s="1596"/>
      <c r="T184" s="1586"/>
      <c r="U184" s="1587"/>
      <c r="V184" s="1587"/>
      <c r="W184" s="1587"/>
      <c r="X184" s="1588"/>
      <c r="Y184" s="475"/>
      <c r="Z184" s="475"/>
      <c r="AA184" s="340"/>
      <c r="AB184" s="340"/>
    </row>
    <row r="185" spans="1:28" ht="14.25" customHeight="1" thickTop="1" thickBot="1">
      <c r="A185" s="478">
        <v>14</v>
      </c>
      <c r="B185" s="475" t="s">
        <v>233</v>
      </c>
      <c r="C185" s="475"/>
      <c r="D185" s="475"/>
      <c r="E185" s="475"/>
      <c r="F185" s="475"/>
      <c r="G185" s="475"/>
      <c r="H185" s="475"/>
      <c r="I185" s="475"/>
      <c r="J185" s="475"/>
      <c r="K185" s="475"/>
      <c r="L185" s="475"/>
      <c r="M185" s="475"/>
      <c r="N185" s="475"/>
      <c r="O185" s="1594"/>
      <c r="P185" s="1595"/>
      <c r="Q185" s="1595"/>
      <c r="R185" s="1595"/>
      <c r="S185" s="1596"/>
      <c r="T185" s="1586"/>
      <c r="U185" s="1587"/>
      <c r="V185" s="1587"/>
      <c r="W185" s="1587"/>
      <c r="X185" s="1588"/>
      <c r="Y185" s="475"/>
      <c r="Z185" s="475"/>
      <c r="AA185" s="340"/>
      <c r="AB185" s="340"/>
    </row>
    <row r="186" spans="1:26" ht="14.25" customHeight="1" thickTop="1" thickBot="1">
      <c r="A186" s="478"/>
      <c r="B186" s="475"/>
      <c r="C186" s="475"/>
      <c r="D186" s="475"/>
      <c r="E186" s="475"/>
      <c r="F186" s="475"/>
      <c r="G186" s="475"/>
      <c r="H186" s="475"/>
      <c r="I186" s="475"/>
      <c r="J186" s="475"/>
      <c r="K186" s="475"/>
      <c r="L186" s="475"/>
      <c r="M186" s="475"/>
      <c r="N186" s="475"/>
      <c r="O186" s="475"/>
      <c r="P186" s="475"/>
      <c r="Q186" s="475"/>
      <c r="R186" s="475"/>
      <c r="S186" s="475"/>
      <c r="T186" s="475"/>
      <c r="U186" s="475"/>
      <c r="V186" s="475"/>
      <c r="W186" s="475"/>
      <c r="X186" s="475"/>
      <c r="Y186" s="475"/>
      <c r="Z186" s="475"/>
    </row>
    <row r="187" spans="1:26" ht="14.25" customHeight="1" thickTop="1" thickBot="1">
      <c r="A187" s="478"/>
      <c r="B187" s="475" t="s">
        <v>234</v>
      </c>
      <c r="C187" s="475"/>
      <c r="D187" s="475"/>
      <c r="E187" s="475"/>
      <c r="F187" s="475"/>
      <c r="G187" s="475"/>
      <c r="H187" s="475"/>
      <c r="I187" s="475"/>
      <c r="J187" s="475"/>
      <c r="K187" s="475"/>
      <c r="L187" s="475"/>
      <c r="M187" s="475"/>
      <c r="N187" s="475"/>
      <c r="O187" s="1642">
        <f>SUM(O172:S185)</f>
        <v>0</v>
      </c>
      <c r="P187" s="1643"/>
      <c r="Q187" s="1643"/>
      <c r="R187" s="1643"/>
      <c r="S187" s="1644"/>
      <c r="T187" s="1642">
        <f>SUM(T172:X185)</f>
        <v>0</v>
      </c>
      <c r="U187" s="1643"/>
      <c r="V187" s="1643"/>
      <c r="W187" s="1643"/>
      <c r="X187" s="1644"/>
      <c r="Y187" s="475"/>
      <c r="Z187" s="475"/>
    </row>
    <row r="188" spans="1:26" ht="13.5" customHeight="1" thickTop="1">
      <c r="A188" s="478"/>
      <c r="B188" s="475"/>
      <c r="C188" s="475"/>
      <c r="D188" s="475"/>
      <c r="E188" s="475"/>
      <c r="F188" s="475"/>
      <c r="G188" s="475"/>
      <c r="H188" s="475"/>
      <c r="I188" s="475"/>
      <c r="J188" s="510"/>
      <c r="K188" s="510"/>
      <c r="L188" s="510"/>
      <c r="M188" s="510"/>
      <c r="N188" s="510"/>
      <c r="O188" s="507"/>
      <c r="P188" s="507"/>
      <c r="Q188" s="507"/>
      <c r="R188" s="507"/>
      <c r="S188" s="507"/>
      <c r="T188" s="507"/>
      <c r="U188" s="507"/>
      <c r="V188" s="507"/>
      <c r="W188" s="507"/>
      <c r="X188" s="507"/>
      <c r="Y188" s="510"/>
      <c r="Z188" s="510"/>
    </row>
    <row r="189" spans="1:26" ht="16.5" customHeight="1" thickBot="1">
      <c r="A189" s="229"/>
      <c r="B189" s="1645" t="s">
        <v>236</v>
      </c>
      <c r="C189" s="1645"/>
      <c r="D189" s="1645"/>
      <c r="E189" s="1645"/>
      <c r="F189" s="228"/>
      <c r="G189" s="475"/>
      <c r="H189" s="475"/>
      <c r="I189" s="475"/>
      <c r="J189" s="475"/>
      <c r="K189" s="475"/>
      <c r="L189" s="475"/>
      <c r="M189" s="475"/>
      <c r="N189" s="475"/>
      <c r="O189" s="475"/>
      <c r="P189" s="475"/>
      <c r="Q189" s="475"/>
      <c r="R189" s="475"/>
      <c r="S189" s="475"/>
      <c r="T189" s="475"/>
      <c r="U189" s="475"/>
      <c r="V189" s="475"/>
      <c r="W189" s="475"/>
      <c r="X189" s="475"/>
      <c r="Y189" s="475"/>
      <c r="Z189" s="475"/>
    </row>
    <row r="190" spans="1:26" ht="14.25" customHeight="1" thickTop="1" thickBot="1">
      <c r="A190" s="478"/>
      <c r="B190" s="475"/>
      <c r="C190" s="475"/>
      <c r="D190" s="475"/>
      <c r="E190" s="475"/>
      <c r="F190" s="475"/>
      <c r="G190" s="475"/>
      <c r="H190" s="475"/>
      <c r="I190" s="475"/>
      <c r="J190" s="475"/>
      <c r="K190" s="475"/>
      <c r="L190" s="475"/>
      <c r="M190" s="475"/>
      <c r="N190" s="475"/>
      <c r="O190" s="1591" t="s">
        <v>228</v>
      </c>
      <c r="P190" s="1592"/>
      <c r="Q190" s="1592"/>
      <c r="R190" s="1592"/>
      <c r="S190" s="1593"/>
      <c r="T190" s="475"/>
      <c r="U190" s="475"/>
      <c r="V190" s="475"/>
      <c r="W190" s="476"/>
      <c r="X190" s="476"/>
      <c r="Y190" s="476"/>
      <c r="Z190" s="476"/>
    </row>
    <row r="191" spans="1:26" ht="14.25" customHeight="1" thickTop="1" thickBot="1">
      <c r="A191" s="478">
        <v>1</v>
      </c>
      <c r="B191" s="475" t="s">
        <v>237</v>
      </c>
      <c r="C191" s="475"/>
      <c r="D191" s="475"/>
      <c r="E191" s="475"/>
      <c r="F191" s="475"/>
      <c r="G191" s="475"/>
      <c r="H191" s="475"/>
      <c r="I191" s="475"/>
      <c r="J191" s="475"/>
      <c r="K191" s="475"/>
      <c r="L191" s="475"/>
      <c r="M191" s="475"/>
      <c r="N191" s="475"/>
      <c r="O191" s="1594"/>
      <c r="P191" s="1595"/>
      <c r="Q191" s="1595"/>
      <c r="R191" s="1595"/>
      <c r="S191" s="1596"/>
      <c r="T191" s="475"/>
      <c r="U191" s="475"/>
      <c r="V191" s="475"/>
      <c r="W191" s="476"/>
      <c r="X191" s="476"/>
      <c r="Y191" s="476"/>
      <c r="Z191" s="476"/>
    </row>
    <row r="192" spans="1:26" ht="14.25" customHeight="1" thickTop="1" thickBot="1">
      <c r="A192" s="478">
        <v>2</v>
      </c>
      <c r="B192" s="475" t="s">
        <v>190</v>
      </c>
      <c r="C192" s="475"/>
      <c r="D192" s="475"/>
      <c r="E192" s="475"/>
      <c r="F192" s="475"/>
      <c r="G192" s="475"/>
      <c r="H192" s="475"/>
      <c r="I192" s="475"/>
      <c r="J192" s="475"/>
      <c r="K192" s="475"/>
      <c r="L192" s="475"/>
      <c r="M192" s="475"/>
      <c r="N192" s="475"/>
      <c r="O192" s="1594"/>
      <c r="P192" s="1595"/>
      <c r="Q192" s="1595"/>
      <c r="R192" s="1595"/>
      <c r="S192" s="1596"/>
      <c r="T192" s="475"/>
      <c r="U192" s="475"/>
      <c r="V192" s="475"/>
      <c r="W192" s="476"/>
      <c r="X192" s="476"/>
      <c r="Y192" s="476"/>
      <c r="Z192" s="476"/>
    </row>
    <row r="193" spans="1:26" ht="24.75" customHeight="1" thickTop="1" thickBot="1">
      <c r="A193" s="511">
        <v>3</v>
      </c>
      <c r="B193" s="480" t="s">
        <v>424</v>
      </c>
      <c r="C193" s="1607"/>
      <c r="D193" s="1607"/>
      <c r="E193" s="1607"/>
      <c r="F193" s="1607"/>
      <c r="G193" s="1607"/>
      <c r="H193" s="1607"/>
      <c r="I193" s="1607"/>
      <c r="J193" s="1607"/>
      <c r="K193" s="1607"/>
      <c r="L193" s="1607"/>
      <c r="M193" s="1607"/>
      <c r="N193" s="512"/>
      <c r="O193" s="1594"/>
      <c r="P193" s="1595"/>
      <c r="Q193" s="1595"/>
      <c r="R193" s="1595"/>
      <c r="S193" s="1596"/>
      <c r="T193" s="475"/>
      <c r="U193" s="475"/>
      <c r="V193" s="475"/>
      <c r="W193" s="476"/>
      <c r="X193" s="476"/>
      <c r="Y193" s="476"/>
      <c r="Z193" s="476"/>
    </row>
    <row r="194" spans="1:26" ht="14.25" customHeight="1" thickTop="1" thickBot="1">
      <c r="A194" s="478">
        <v>4</v>
      </c>
      <c r="B194" s="475" t="s">
        <v>238</v>
      </c>
      <c r="C194" s="475"/>
      <c r="D194" s="475"/>
      <c r="E194" s="475"/>
      <c r="F194" s="475"/>
      <c r="G194" s="475"/>
      <c r="H194" s="475"/>
      <c r="I194" s="475"/>
      <c r="J194" s="475"/>
      <c r="K194" s="475"/>
      <c r="L194" s="475"/>
      <c r="M194" s="475"/>
      <c r="N194" s="475"/>
      <c r="O194" s="1594"/>
      <c r="P194" s="1595"/>
      <c r="Q194" s="1595"/>
      <c r="R194" s="1595"/>
      <c r="S194" s="1596"/>
      <c r="T194" s="475"/>
      <c r="U194" s="475"/>
      <c r="V194" s="475"/>
      <c r="W194" s="476"/>
      <c r="X194" s="476"/>
      <c r="Y194" s="476"/>
      <c r="Z194" s="476"/>
    </row>
    <row r="195" spans="1:26" ht="14.25" customHeight="1" thickTop="1" thickBot="1">
      <c r="A195" s="478">
        <v>5</v>
      </c>
      <c r="B195" s="475" t="s">
        <v>423</v>
      </c>
      <c r="C195" s="475"/>
      <c r="D195" s="475"/>
      <c r="E195" s="475"/>
      <c r="F195" s="475"/>
      <c r="G195" s="475"/>
      <c r="H195" s="475"/>
      <c r="I195" s="475"/>
      <c r="J195" s="475"/>
      <c r="K195" s="475"/>
      <c r="L195" s="475"/>
      <c r="M195" s="475"/>
      <c r="N195" s="475"/>
      <c r="O195" s="1594"/>
      <c r="P195" s="1595"/>
      <c r="Q195" s="1595"/>
      <c r="R195" s="1595"/>
      <c r="S195" s="1596"/>
      <c r="T195" s="475"/>
      <c r="U195" s="475"/>
      <c r="V195" s="475"/>
      <c r="W195" s="476"/>
      <c r="X195" s="476"/>
      <c r="Y195" s="476"/>
      <c r="Z195" s="476"/>
    </row>
    <row r="196" spans="1:26" ht="14.25" customHeight="1" thickTop="1" thickBot="1">
      <c r="A196" s="478">
        <v>6</v>
      </c>
      <c r="B196" s="475" t="s">
        <v>239</v>
      </c>
      <c r="C196" s="475"/>
      <c r="D196" s="475"/>
      <c r="E196" s="475"/>
      <c r="F196" s="475"/>
      <c r="G196" s="475"/>
      <c r="H196" s="475"/>
      <c r="I196" s="475"/>
      <c r="J196" s="475"/>
      <c r="K196" s="475"/>
      <c r="L196" s="475"/>
      <c r="M196" s="475"/>
      <c r="N196" s="475"/>
      <c r="O196" s="1594"/>
      <c r="P196" s="1595"/>
      <c r="Q196" s="1595"/>
      <c r="R196" s="1595"/>
      <c r="S196" s="1596"/>
      <c r="T196" s="475"/>
      <c r="U196" s="475"/>
      <c r="V196" s="475"/>
      <c r="W196" s="476"/>
      <c r="X196" s="476"/>
      <c r="Y196" s="476"/>
      <c r="Z196" s="476"/>
    </row>
    <row r="197" spans="1:26" ht="14.25" customHeight="1" thickTop="1" thickBot="1">
      <c r="A197" s="478"/>
      <c r="B197" s="475"/>
      <c r="C197" s="475"/>
      <c r="D197" s="475"/>
      <c r="E197" s="475"/>
      <c r="F197" s="475"/>
      <c r="G197" s="475"/>
      <c r="H197" s="475"/>
      <c r="I197" s="475"/>
      <c r="J197" s="475"/>
      <c r="K197" s="475"/>
      <c r="L197" s="475"/>
      <c r="M197" s="475"/>
      <c r="N197" s="475"/>
      <c r="O197" s="507"/>
      <c r="P197" s="507"/>
      <c r="Q197" s="507"/>
      <c r="R197" s="507"/>
      <c r="S197" s="507"/>
      <c r="T197" s="475"/>
      <c r="U197" s="475"/>
      <c r="V197" s="475"/>
      <c r="W197" s="476"/>
      <c r="X197" s="476"/>
      <c r="Y197" s="476"/>
      <c r="Z197" s="476"/>
    </row>
    <row r="198" spans="1:26" ht="14.25" customHeight="1" thickTop="1" thickBot="1">
      <c r="A198" s="478"/>
      <c r="B198" s="475" t="s">
        <v>234</v>
      </c>
      <c r="C198" s="475"/>
      <c r="D198" s="475"/>
      <c r="E198" s="475"/>
      <c r="F198" s="475"/>
      <c r="G198" s="475"/>
      <c r="H198" s="475"/>
      <c r="I198" s="475"/>
      <c r="J198" s="475"/>
      <c r="K198" s="475"/>
      <c r="L198" s="475"/>
      <c r="M198" s="475"/>
      <c r="N198" s="475"/>
      <c r="O198" s="1619">
        <f>SUM(O191:S196)</f>
        <v>0</v>
      </c>
      <c r="P198" s="1620"/>
      <c r="Q198" s="1620"/>
      <c r="R198" s="1620"/>
      <c r="S198" s="1621"/>
      <c r="T198" s="475"/>
      <c r="U198" s="475"/>
      <c r="V198" s="475"/>
      <c r="W198" s="476"/>
      <c r="X198" s="476"/>
      <c r="Y198" s="476"/>
      <c r="Z198" s="476"/>
    </row>
    <row r="199" spans="1:26" ht="13.5" customHeight="1" thickTop="1">
      <c r="A199" s="478"/>
      <c r="B199" s="475"/>
      <c r="C199" s="475"/>
      <c r="D199" s="475"/>
      <c r="E199" s="475"/>
      <c r="F199" s="475"/>
      <c r="G199" s="475"/>
      <c r="H199" s="475"/>
      <c r="I199" s="475"/>
      <c r="J199" s="475"/>
      <c r="K199" s="475"/>
      <c r="L199" s="475"/>
      <c r="M199" s="475"/>
      <c r="N199" s="475"/>
      <c r="O199" s="475"/>
      <c r="P199" s="475"/>
      <c r="Q199" s="475"/>
      <c r="R199" s="475"/>
      <c r="S199" s="475"/>
      <c r="T199" s="475"/>
      <c r="U199" s="475"/>
      <c r="V199" s="475"/>
      <c r="W199" s="475"/>
      <c r="X199" s="475"/>
      <c r="Y199" s="475"/>
      <c r="Z199" s="475"/>
    </row>
    <row r="200" spans="1:35" ht="18" customHeight="1">
      <c r="A200" s="1479" t="s">
        <v>1407</v>
      </c>
      <c r="B200" s="1479" t="s">
        <v>1408</v>
      </c>
      <c r="C200" s="1480"/>
      <c r="D200" s="1480"/>
      <c r="E200" s="1480"/>
      <c r="F200" s="1480"/>
      <c r="G200" s="1480"/>
      <c r="H200" s="1480"/>
      <c r="I200" s="1480"/>
      <c r="J200" s="1480"/>
      <c r="K200" s="1480"/>
      <c r="L200" s="1480"/>
      <c r="M200" s="1480"/>
      <c r="N200" s="1480"/>
      <c r="O200" s="1480"/>
      <c r="P200" s="1480"/>
      <c r="Q200" s="1480"/>
      <c r="R200" s="1480"/>
      <c r="S200" s="1480"/>
      <c r="T200" s="1480"/>
      <c r="U200" s="1480"/>
      <c r="V200" s="1480"/>
      <c r="W200" s="1480"/>
      <c r="X200" s="1480"/>
      <c r="Y200" s="1480"/>
      <c r="Z200" s="1480"/>
      <c r="AH200" s="340"/>
      <c r="AI200" s="340"/>
    </row>
    <row r="201" spans="1:35" ht="13.5" customHeight="1">
      <c r="A201" s="463"/>
      <c r="B201" s="463"/>
      <c r="C201" s="463"/>
      <c r="D201" s="463"/>
      <c r="E201" s="463"/>
      <c r="F201" s="463"/>
      <c r="G201" s="463"/>
      <c r="H201" s="463"/>
      <c r="I201" s="463"/>
      <c r="J201" s="463"/>
      <c r="K201" s="463"/>
      <c r="L201" s="463"/>
      <c r="M201" s="463"/>
      <c r="N201" s="463"/>
      <c r="O201" s="463"/>
      <c r="P201" s="463"/>
      <c r="Q201" s="463"/>
      <c r="R201" s="463"/>
      <c r="S201" s="463"/>
      <c r="T201" s="463"/>
      <c r="U201" s="463"/>
      <c r="V201" s="463"/>
      <c r="W201" s="463"/>
      <c r="X201" s="463"/>
      <c r="Y201" s="463"/>
      <c r="Z201" s="463"/>
      <c r="AH201" s="340"/>
      <c r="AI201" s="340"/>
    </row>
    <row r="202" spans="1:35" ht="13.5" customHeight="1" thickBot="1">
      <c r="A202" s="463"/>
      <c r="B202" s="463"/>
      <c r="C202" s="463"/>
      <c r="D202" s="463"/>
      <c r="E202" s="463"/>
      <c r="F202" s="463"/>
      <c r="G202" s="463"/>
      <c r="H202" s="463"/>
      <c r="I202" s="463"/>
      <c r="J202" s="463"/>
      <c r="K202" s="463"/>
      <c r="L202" s="463"/>
      <c r="M202" s="463"/>
      <c r="N202" s="463"/>
      <c r="O202" s="463"/>
      <c r="P202" s="463"/>
      <c r="Q202" s="463"/>
      <c r="R202" s="463"/>
      <c r="S202" s="463"/>
      <c r="T202" s="463"/>
      <c r="U202" s="463"/>
      <c r="V202" s="463"/>
      <c r="W202" s="463"/>
      <c r="X202" s="463"/>
      <c r="Y202" s="463"/>
      <c r="Z202" s="463"/>
      <c r="AH202" s="340"/>
      <c r="AI202" s="340"/>
    </row>
    <row r="203" spans="1:26" ht="13.5" customHeight="1" thickTop="1">
      <c r="A203" s="463"/>
      <c r="B203" s="1520" t="s">
        <v>1409</v>
      </c>
      <c r="C203" s="1522" t="s">
        <v>1410</v>
      </c>
      <c r="D203" s="1523"/>
      <c r="E203" s="1523"/>
      <c r="F203" s="1523"/>
      <c r="G203" s="1524"/>
      <c r="H203" s="1522" t="s">
        <v>1411</v>
      </c>
      <c r="I203" s="1523"/>
      <c r="J203" s="1523"/>
      <c r="K203" s="1523"/>
      <c r="L203" s="1523"/>
      <c r="M203" s="1523"/>
      <c r="N203" s="1524"/>
      <c r="O203" s="1522" t="s">
        <v>1412</v>
      </c>
      <c r="P203" s="1523"/>
      <c r="Q203" s="1523"/>
      <c r="R203" s="1523"/>
      <c r="S203" s="1524"/>
      <c r="T203" s="1522" t="s">
        <v>1413</v>
      </c>
      <c r="U203" s="1523"/>
      <c r="V203" s="1523"/>
      <c r="W203" s="1523"/>
      <c r="X203" s="1524"/>
      <c r="Y203" s="463"/>
      <c r="Z203" s="463"/>
    </row>
    <row r="204" spans="1:26" ht="13.5" customHeight="1" thickBot="1">
      <c r="A204" s="463"/>
      <c r="B204" s="1521"/>
      <c r="C204" s="1525"/>
      <c r="D204" s="1526"/>
      <c r="E204" s="1526"/>
      <c r="F204" s="1526"/>
      <c r="G204" s="1527"/>
      <c r="H204" s="1525"/>
      <c r="I204" s="1526"/>
      <c r="J204" s="1526"/>
      <c r="K204" s="1526"/>
      <c r="L204" s="1526"/>
      <c r="M204" s="1526"/>
      <c r="N204" s="1527"/>
      <c r="O204" s="1525"/>
      <c r="P204" s="1526"/>
      <c r="Q204" s="1526"/>
      <c r="R204" s="1526"/>
      <c r="S204" s="1527"/>
      <c r="T204" s="1525"/>
      <c r="U204" s="1526"/>
      <c r="V204" s="1526"/>
      <c r="W204" s="1526"/>
      <c r="X204" s="1527"/>
      <c r="Y204" s="463"/>
      <c r="Z204" s="463"/>
    </row>
    <row r="205" spans="1:26" ht="13.5" customHeight="1" thickTop="1">
      <c r="A205" s="463"/>
      <c r="B205" s="1481"/>
      <c r="C205" s="1528"/>
      <c r="D205" s="1528"/>
      <c r="E205" s="1528"/>
      <c r="F205" s="1528"/>
      <c r="G205" s="1528"/>
      <c r="H205" s="1528"/>
      <c r="I205" s="1528"/>
      <c r="J205" s="1528"/>
      <c r="K205" s="1528"/>
      <c r="L205" s="1528"/>
      <c r="M205" s="1528"/>
      <c r="N205" s="1528"/>
      <c r="O205" s="1529"/>
      <c r="P205" s="1529"/>
      <c r="Q205" s="1529"/>
      <c r="R205" s="1529"/>
      <c r="S205" s="1529"/>
      <c r="T205" s="1530"/>
      <c r="U205" s="1530"/>
      <c r="V205" s="1530"/>
      <c r="W205" s="1530"/>
      <c r="X205" s="1531"/>
      <c r="Y205" s="463"/>
      <c r="Z205" s="463"/>
    </row>
    <row r="206" spans="1:34" ht="13.5" customHeight="1">
      <c r="A206" s="463"/>
      <c r="B206" s="1482">
        <v>1</v>
      </c>
      <c r="C206" s="1511"/>
      <c r="D206" s="1511"/>
      <c r="E206" s="1511"/>
      <c r="F206" s="1511"/>
      <c r="G206" s="1511"/>
      <c r="H206" s="1512"/>
      <c r="I206" s="1512"/>
      <c r="J206" s="1512"/>
      <c r="K206" s="1512"/>
      <c r="L206" s="1512"/>
      <c r="M206" s="1512"/>
      <c r="N206" s="1512"/>
      <c r="O206" s="1513"/>
      <c r="P206" s="1513"/>
      <c r="Q206" s="1513"/>
      <c r="R206" s="1513"/>
      <c r="S206" s="1513"/>
      <c r="T206" s="1514"/>
      <c r="U206" s="1514"/>
      <c r="V206" s="1514"/>
      <c r="W206" s="1514"/>
      <c r="X206" s="1515"/>
      <c r="Y206" s="463"/>
      <c r="Z206" s="463"/>
      <c r="AH206" s="340" t="s">
        <v>1414</v>
      </c>
    </row>
    <row r="207" spans="1:34" ht="13.5" customHeight="1">
      <c r="A207" s="463"/>
      <c r="B207" s="1482">
        <v>2</v>
      </c>
      <c r="C207" s="1511"/>
      <c r="D207" s="1511"/>
      <c r="E207" s="1511"/>
      <c r="F207" s="1511"/>
      <c r="G207" s="1511"/>
      <c r="H207" s="1512"/>
      <c r="I207" s="1512"/>
      <c r="J207" s="1512"/>
      <c r="K207" s="1512"/>
      <c r="L207" s="1512"/>
      <c r="M207" s="1512"/>
      <c r="N207" s="1512"/>
      <c r="O207" s="1513"/>
      <c r="P207" s="1513"/>
      <c r="Q207" s="1513"/>
      <c r="R207" s="1513"/>
      <c r="S207" s="1513"/>
      <c r="T207" s="1514"/>
      <c r="U207" s="1514"/>
      <c r="V207" s="1514"/>
      <c r="W207" s="1514"/>
      <c r="X207" s="1515"/>
      <c r="Y207" s="463"/>
      <c r="Z207" s="463"/>
      <c r="AH207" s="340" t="s">
        <v>1415</v>
      </c>
    </row>
    <row r="208" spans="1:34" ht="13.5" customHeight="1">
      <c r="A208" s="463"/>
      <c r="B208" s="1482">
        <v>3</v>
      </c>
      <c r="C208" s="1511"/>
      <c r="D208" s="1511"/>
      <c r="E208" s="1511"/>
      <c r="F208" s="1511"/>
      <c r="G208" s="1511"/>
      <c r="H208" s="1512"/>
      <c r="I208" s="1512"/>
      <c r="J208" s="1512"/>
      <c r="K208" s="1512"/>
      <c r="L208" s="1512"/>
      <c r="M208" s="1512"/>
      <c r="N208" s="1512"/>
      <c r="O208" s="1513"/>
      <c r="P208" s="1513"/>
      <c r="Q208" s="1513"/>
      <c r="R208" s="1513"/>
      <c r="S208" s="1513"/>
      <c r="T208" s="1514"/>
      <c r="U208" s="1514"/>
      <c r="V208" s="1514"/>
      <c r="W208" s="1514"/>
      <c r="X208" s="1515"/>
      <c r="Y208" s="463"/>
      <c r="Z208" s="463"/>
      <c r="AH208" s="340" t="s">
        <v>1416</v>
      </c>
    </row>
    <row r="209" spans="1:34" ht="13.5" customHeight="1">
      <c r="A209" s="478"/>
      <c r="B209" s="1482">
        <v>4</v>
      </c>
      <c r="C209" s="1511"/>
      <c r="D209" s="1511"/>
      <c r="E209" s="1511"/>
      <c r="F209" s="1511"/>
      <c r="G209" s="1511"/>
      <c r="H209" s="1512"/>
      <c r="I209" s="1512"/>
      <c r="J209" s="1512"/>
      <c r="K209" s="1512"/>
      <c r="L209" s="1512"/>
      <c r="M209" s="1512"/>
      <c r="N209" s="1512"/>
      <c r="O209" s="1513"/>
      <c r="P209" s="1513"/>
      <c r="Q209" s="1513"/>
      <c r="R209" s="1513"/>
      <c r="S209" s="1513"/>
      <c r="T209" s="1514"/>
      <c r="U209" s="1514"/>
      <c r="V209" s="1514"/>
      <c r="W209" s="1514"/>
      <c r="X209" s="1515"/>
      <c r="Y209" s="463"/>
      <c r="Z209" s="463"/>
      <c r="AH209" s="340" t="s">
        <v>1417</v>
      </c>
    </row>
    <row r="210" spans="1:34" ht="13.5" customHeight="1">
      <c r="A210" s="478"/>
      <c r="B210" s="1482">
        <v>5</v>
      </c>
      <c r="C210" s="1511"/>
      <c r="D210" s="1511"/>
      <c r="E210" s="1511"/>
      <c r="F210" s="1511"/>
      <c r="G210" s="1511"/>
      <c r="H210" s="1512"/>
      <c r="I210" s="1512"/>
      <c r="J210" s="1512"/>
      <c r="K210" s="1512"/>
      <c r="L210" s="1512"/>
      <c r="M210" s="1512"/>
      <c r="N210" s="1512"/>
      <c r="O210" s="1513"/>
      <c r="P210" s="1513"/>
      <c r="Q210" s="1513"/>
      <c r="R210" s="1513"/>
      <c r="S210" s="1513"/>
      <c r="T210" s="1514"/>
      <c r="U210" s="1514"/>
      <c r="V210" s="1514"/>
      <c r="W210" s="1514"/>
      <c r="X210" s="1515"/>
      <c r="Y210" s="463"/>
      <c r="Z210" s="463"/>
      <c r="AH210" s="340" t="s">
        <v>1418</v>
      </c>
    </row>
    <row r="211" spans="1:34" ht="13.5" customHeight="1">
      <c r="A211" s="478"/>
      <c r="B211" s="1482">
        <v>6</v>
      </c>
      <c r="C211" s="1511"/>
      <c r="D211" s="1511"/>
      <c r="E211" s="1511"/>
      <c r="F211" s="1511"/>
      <c r="G211" s="1511"/>
      <c r="H211" s="1512"/>
      <c r="I211" s="1512"/>
      <c r="J211" s="1512"/>
      <c r="K211" s="1512"/>
      <c r="L211" s="1512"/>
      <c r="M211" s="1512"/>
      <c r="N211" s="1512"/>
      <c r="O211" s="1513"/>
      <c r="P211" s="1513"/>
      <c r="Q211" s="1513"/>
      <c r="R211" s="1513"/>
      <c r="S211" s="1513"/>
      <c r="T211" s="1514"/>
      <c r="U211" s="1514"/>
      <c r="V211" s="1514"/>
      <c r="W211" s="1514"/>
      <c r="X211" s="1515"/>
      <c r="Y211" s="463"/>
      <c r="Z211" s="463"/>
      <c r="AH211" s="340" t="s">
        <v>1419</v>
      </c>
    </row>
    <row r="212" spans="1:34" ht="13.5" customHeight="1">
      <c r="A212" s="478"/>
      <c r="B212" s="1482">
        <v>7</v>
      </c>
      <c r="C212" s="1511"/>
      <c r="D212" s="1511"/>
      <c r="E212" s="1511"/>
      <c r="F212" s="1511"/>
      <c r="G212" s="1511"/>
      <c r="H212" s="1512"/>
      <c r="I212" s="1512"/>
      <c r="J212" s="1512"/>
      <c r="K212" s="1512"/>
      <c r="L212" s="1512"/>
      <c r="M212" s="1512"/>
      <c r="N212" s="1512"/>
      <c r="O212" s="1513"/>
      <c r="P212" s="1513"/>
      <c r="Q212" s="1513"/>
      <c r="R212" s="1513"/>
      <c r="S212" s="1513"/>
      <c r="T212" s="1514"/>
      <c r="U212" s="1514"/>
      <c r="V212" s="1514"/>
      <c r="W212" s="1514"/>
      <c r="X212" s="1515"/>
      <c r="Y212" s="463"/>
      <c r="Z212" s="463"/>
      <c r="AH212" s="340" t="s">
        <v>1420</v>
      </c>
    </row>
    <row r="213" spans="1:34" ht="13.5" customHeight="1">
      <c r="A213" s="478"/>
      <c r="B213" s="1482">
        <v>8</v>
      </c>
      <c r="C213" s="1511"/>
      <c r="D213" s="1511"/>
      <c r="E213" s="1511"/>
      <c r="F213" s="1511"/>
      <c r="G213" s="1511"/>
      <c r="H213" s="1512"/>
      <c r="I213" s="1512"/>
      <c r="J213" s="1512"/>
      <c r="K213" s="1512"/>
      <c r="L213" s="1512"/>
      <c r="M213" s="1512"/>
      <c r="N213" s="1512"/>
      <c r="O213" s="1513"/>
      <c r="P213" s="1513"/>
      <c r="Q213" s="1513"/>
      <c r="R213" s="1513"/>
      <c r="S213" s="1513"/>
      <c r="T213" s="1514"/>
      <c r="U213" s="1514"/>
      <c r="V213" s="1514"/>
      <c r="W213" s="1514"/>
      <c r="X213" s="1515"/>
      <c r="Y213" s="463"/>
      <c r="Z213" s="463"/>
      <c r="AH213" s="340" t="s">
        <v>1421</v>
      </c>
    </row>
    <row r="214" spans="1:26" ht="13.5" customHeight="1">
      <c r="A214" s="484"/>
      <c r="B214" s="1482">
        <v>9</v>
      </c>
      <c r="C214" s="1511"/>
      <c r="D214" s="1511"/>
      <c r="E214" s="1511"/>
      <c r="F214" s="1511"/>
      <c r="G214" s="1511"/>
      <c r="H214" s="1512"/>
      <c r="I214" s="1512"/>
      <c r="J214" s="1512"/>
      <c r="K214" s="1512"/>
      <c r="L214" s="1512"/>
      <c r="M214" s="1512"/>
      <c r="N214" s="1512"/>
      <c r="O214" s="1513"/>
      <c r="P214" s="1513"/>
      <c r="Q214" s="1513"/>
      <c r="R214" s="1513"/>
      <c r="S214" s="1513"/>
      <c r="T214" s="1514"/>
      <c r="U214" s="1514"/>
      <c r="V214" s="1514"/>
      <c r="W214" s="1514"/>
      <c r="X214" s="1515"/>
      <c r="Y214" s="484"/>
      <c r="Z214" s="484"/>
    </row>
    <row r="215" spans="1:26" ht="13.5" customHeight="1">
      <c r="A215" s="484"/>
      <c r="B215" s="1482">
        <v>10</v>
      </c>
      <c r="C215" s="1511"/>
      <c r="D215" s="1511"/>
      <c r="E215" s="1511"/>
      <c r="F215" s="1511"/>
      <c r="G215" s="1511"/>
      <c r="H215" s="1512"/>
      <c r="I215" s="1512"/>
      <c r="J215" s="1512"/>
      <c r="K215" s="1512"/>
      <c r="L215" s="1512"/>
      <c r="M215" s="1512"/>
      <c r="N215" s="1512"/>
      <c r="O215" s="1513"/>
      <c r="P215" s="1513"/>
      <c r="Q215" s="1513"/>
      <c r="R215" s="1513"/>
      <c r="S215" s="1513"/>
      <c r="T215" s="1514"/>
      <c r="U215" s="1514"/>
      <c r="V215" s="1514"/>
      <c r="W215" s="1514"/>
      <c r="X215" s="1515"/>
      <c r="Y215" s="484"/>
      <c r="Z215" s="484"/>
    </row>
    <row r="216" spans="1:26" ht="13.5" customHeight="1" thickBot="1">
      <c r="A216" s="484"/>
      <c r="B216" s="1483"/>
      <c r="C216" s="1516"/>
      <c r="D216" s="1516"/>
      <c r="E216" s="1516"/>
      <c r="F216" s="1516"/>
      <c r="G216" s="1516"/>
      <c r="H216" s="1516"/>
      <c r="I216" s="1516"/>
      <c r="J216" s="1516"/>
      <c r="K216" s="1516"/>
      <c r="L216" s="1516"/>
      <c r="M216" s="1516"/>
      <c r="N216" s="1516"/>
      <c r="O216" s="1517"/>
      <c r="P216" s="1517"/>
      <c r="Q216" s="1517"/>
      <c r="R216" s="1517"/>
      <c r="S216" s="1517"/>
      <c r="T216" s="1518"/>
      <c r="U216" s="1518"/>
      <c r="V216" s="1518"/>
      <c r="W216" s="1518"/>
      <c r="X216" s="1519"/>
      <c r="Y216" s="484"/>
      <c r="Z216" s="484"/>
    </row>
    <row r="217" spans="1:26" ht="17.25" customHeight="1" thickTop="1">
      <c r="A217" s="484"/>
      <c r="B217" s="484"/>
      <c r="C217" s="1484"/>
      <c r="D217" s="484"/>
      <c r="E217" s="484"/>
      <c r="F217" s="484"/>
      <c r="G217" s="484"/>
      <c r="H217" s="484"/>
      <c r="I217" s="484"/>
      <c r="J217" s="484"/>
      <c r="K217" s="484"/>
      <c r="L217" s="484"/>
      <c r="M217" s="484"/>
      <c r="N217" s="484"/>
      <c r="O217" s="484"/>
      <c r="P217" s="484"/>
      <c r="Q217" s="484"/>
      <c r="R217" s="484"/>
      <c r="S217" s="484"/>
      <c r="T217" s="484"/>
      <c r="U217" s="484"/>
      <c r="V217" s="484"/>
      <c r="W217" s="484"/>
      <c r="X217" s="484"/>
      <c r="Y217" s="484"/>
      <c r="Z217" s="484"/>
    </row>
    <row r="218" spans="1:26" ht="16.5" customHeight="1">
      <c r="A218" s="484"/>
      <c r="B218" s="484"/>
      <c r="C218" s="1484"/>
      <c r="D218" s="484"/>
      <c r="E218" s="484"/>
      <c r="F218" s="484"/>
      <c r="G218" s="484"/>
      <c r="H218" s="484"/>
      <c r="I218" s="484"/>
      <c r="J218" s="484"/>
      <c r="K218" s="484"/>
      <c r="L218" s="484"/>
      <c r="M218" s="484"/>
      <c r="N218" s="484"/>
      <c r="O218" s="484"/>
      <c r="P218" s="484"/>
      <c r="Q218" s="484"/>
      <c r="R218" s="484"/>
      <c r="S218" s="484"/>
      <c r="T218" s="484"/>
      <c r="U218" s="484"/>
      <c r="V218" s="484"/>
      <c r="W218" s="484"/>
      <c r="X218" s="484"/>
      <c r="Y218" s="484"/>
      <c r="Z218" s="484"/>
    </row>
    <row r="219" spans="1:26">
      <c r="A219" s="484"/>
      <c r="B219" s="484"/>
      <c r="C219" s="484"/>
      <c r="D219" s="484"/>
      <c r="E219" s="484"/>
      <c r="F219" s="484"/>
      <c r="G219" s="484"/>
      <c r="H219" s="484"/>
      <c r="I219" s="484"/>
      <c r="J219" s="484"/>
      <c r="K219" s="484"/>
      <c r="L219" s="484"/>
      <c r="M219" s="484"/>
      <c r="N219" s="484"/>
      <c r="O219" s="484"/>
      <c r="P219" s="484"/>
      <c r="Q219" s="484"/>
      <c r="R219" s="484"/>
      <c r="S219" s="484"/>
      <c r="T219" s="484"/>
      <c r="U219" s="484"/>
      <c r="V219" s="484"/>
      <c r="W219" s="484"/>
      <c r="X219" s="484"/>
      <c r="Y219" s="484"/>
      <c r="Z219" s="484"/>
    </row>
    <row r="239" spans="1:28">
      <c r="A239" s="340"/>
      <c r="B239" s="340"/>
      <c r="AA239" s="340"/>
      <c r="AB239" s="340"/>
    </row>
  </sheetData>
  <sheetProtection formatCells="0" formatColumns="0" formatRows="0"/>
  <mergeCells count="387">
    <mergeCell ref="B5:I5"/>
    <mergeCell ref="O5:S5"/>
    <mergeCell ref="G116:K116"/>
    <mergeCell ref="K101:P101"/>
    <mergeCell ref="K102:P102"/>
    <mergeCell ref="D98:G98"/>
    <mergeCell ref="H98:K98"/>
    <mergeCell ref="B96:C96"/>
    <mergeCell ref="B95:C95"/>
    <mergeCell ref="B94:C94"/>
    <mergeCell ref="B93:C93"/>
    <mergeCell ref="H93:K93"/>
    <mergeCell ref="H82:K82"/>
    <mergeCell ref="G112:K112"/>
    <mergeCell ref="L112:P112"/>
    <mergeCell ref="Q112:U112"/>
    <mergeCell ref="C68:D69"/>
    <mergeCell ref="C70:D70"/>
    <mergeCell ref="L98:O98"/>
    <mergeCell ref="D60:R60"/>
    <mergeCell ref="G14:V14"/>
    <mergeCell ref="G16:V16"/>
    <mergeCell ref="G18:V18"/>
    <mergeCell ref="G20:I20"/>
    <mergeCell ref="AD15:AF15"/>
    <mergeCell ref="G22:I22"/>
    <mergeCell ref="K20:S20"/>
    <mergeCell ref="K22:S22"/>
    <mergeCell ref="G26:V26"/>
    <mergeCell ref="D59:R59"/>
    <mergeCell ref="H86:K86"/>
    <mergeCell ref="H84:K84"/>
    <mergeCell ref="AC81:AF81"/>
    <mergeCell ref="F64:J64"/>
    <mergeCell ref="E73:I73"/>
    <mergeCell ref="E74:I74"/>
    <mergeCell ref="J68:M69"/>
    <mergeCell ref="N68:R69"/>
    <mergeCell ref="F65:J65"/>
    <mergeCell ref="N71:R71"/>
    <mergeCell ref="C75:D75"/>
    <mergeCell ref="B85:C85"/>
    <mergeCell ref="D85:G85"/>
    <mergeCell ref="B83:C83"/>
    <mergeCell ref="H83:K83"/>
    <mergeCell ref="L83:O83"/>
    <mergeCell ref="B84:C84"/>
    <mergeCell ref="D84:G84"/>
    <mergeCell ref="B131:F131"/>
    <mergeCell ref="G131:K131"/>
    <mergeCell ref="L131:P131"/>
    <mergeCell ref="Q131:U131"/>
    <mergeCell ref="V131:Z131"/>
    <mergeCell ref="V128:Z128"/>
    <mergeCell ref="B130:F130"/>
    <mergeCell ref="G130:K130"/>
    <mergeCell ref="L130:P130"/>
    <mergeCell ref="Q130:U130"/>
    <mergeCell ref="B129:F129"/>
    <mergeCell ref="G129:K129"/>
    <mergeCell ref="L129:P129"/>
    <mergeCell ref="V130:Z130"/>
    <mergeCell ref="B128:F128"/>
    <mergeCell ref="G128:K128"/>
    <mergeCell ref="L128:P128"/>
    <mergeCell ref="Q128:U128"/>
    <mergeCell ref="B119:F119"/>
    <mergeCell ref="G119:K119"/>
    <mergeCell ref="L119:P119"/>
    <mergeCell ref="B120:F120"/>
    <mergeCell ref="G120:K120"/>
    <mergeCell ref="H99:K99"/>
    <mergeCell ref="B92:C92"/>
    <mergeCell ref="D92:G92"/>
    <mergeCell ref="L99:O99"/>
    <mergeCell ref="H95:K95"/>
    <mergeCell ref="L95:O95"/>
    <mergeCell ref="L109:P109"/>
    <mergeCell ref="G109:K109"/>
    <mergeCell ref="G118:K118"/>
    <mergeCell ref="L118:P118"/>
    <mergeCell ref="L92:O92"/>
    <mergeCell ref="D93:G93"/>
    <mergeCell ref="L93:O93"/>
    <mergeCell ref="G108:H108"/>
    <mergeCell ref="L120:P120"/>
    <mergeCell ref="B118:F118"/>
    <mergeCell ref="B124:F124"/>
    <mergeCell ref="G124:K124"/>
    <mergeCell ref="L124:P124"/>
    <mergeCell ref="Q121:U121"/>
    <mergeCell ref="B125:F125"/>
    <mergeCell ref="G125:K125"/>
    <mergeCell ref="L125:P125"/>
    <mergeCell ref="Q125:U125"/>
    <mergeCell ref="Q124:U124"/>
    <mergeCell ref="B123:F123"/>
    <mergeCell ref="G123:K123"/>
    <mergeCell ref="L123:P123"/>
    <mergeCell ref="Q123:U123"/>
    <mergeCell ref="B122:F122"/>
    <mergeCell ref="G122:K122"/>
    <mergeCell ref="L122:P122"/>
    <mergeCell ref="Q122:U122"/>
    <mergeCell ref="B121:F121"/>
    <mergeCell ref="B127:F127"/>
    <mergeCell ref="G121:K121"/>
    <mergeCell ref="B88:C88"/>
    <mergeCell ref="D88:G88"/>
    <mergeCell ref="H85:K85"/>
    <mergeCell ref="L85:O85"/>
    <mergeCell ref="L86:O86"/>
    <mergeCell ref="B87:C87"/>
    <mergeCell ref="D87:G87"/>
    <mergeCell ref="H88:K88"/>
    <mergeCell ref="G106:K106"/>
    <mergeCell ref="B86:C86"/>
    <mergeCell ref="L96:O96"/>
    <mergeCell ref="B89:C89"/>
    <mergeCell ref="H89:K89"/>
    <mergeCell ref="D89:G89"/>
    <mergeCell ref="B91:C91"/>
    <mergeCell ref="D95:G95"/>
    <mergeCell ref="D94:G94"/>
    <mergeCell ref="H94:K94"/>
    <mergeCell ref="D91:G91"/>
    <mergeCell ref="H91:K91"/>
    <mergeCell ref="L91:O91"/>
    <mergeCell ref="B90:C90"/>
    <mergeCell ref="O182:S182"/>
    <mergeCell ref="O181:S181"/>
    <mergeCell ref="T181:X181"/>
    <mergeCell ref="D90:G90"/>
    <mergeCell ref="H90:K90"/>
    <mergeCell ref="B193:M193"/>
    <mergeCell ref="B189:E189"/>
    <mergeCell ref="O198:S198"/>
    <mergeCell ref="O194:S194"/>
    <mergeCell ref="O196:S196"/>
    <mergeCell ref="O190:S190"/>
    <mergeCell ref="O191:S191"/>
    <mergeCell ref="O192:S192"/>
    <mergeCell ref="O193:S193"/>
    <mergeCell ref="O195:S195"/>
    <mergeCell ref="O187:S187"/>
    <mergeCell ref="O175:S175"/>
    <mergeCell ref="Q156:U156"/>
    <mergeCell ref="Q165:U165"/>
    <mergeCell ref="O174:S174"/>
    <mergeCell ref="G137:K137"/>
    <mergeCell ref="L137:P137"/>
    <mergeCell ref="Q137:U137"/>
    <mergeCell ref="G147:K147"/>
    <mergeCell ref="L156:P156"/>
    <mergeCell ref="V157:Z157"/>
    <mergeCell ref="Q158:U158"/>
    <mergeCell ref="V158:Z158"/>
    <mergeCell ref="L158:P158"/>
    <mergeCell ref="Q157:U157"/>
    <mergeCell ref="T187:X187"/>
    <mergeCell ref="O179:S179"/>
    <mergeCell ref="T176:X176"/>
    <mergeCell ref="T177:X177"/>
    <mergeCell ref="T178:X178"/>
    <mergeCell ref="O176:S176"/>
    <mergeCell ref="O177:S177"/>
    <mergeCell ref="O178:S178"/>
    <mergeCell ref="T180:X180"/>
    <mergeCell ref="T185:X185"/>
    <mergeCell ref="O180:S180"/>
    <mergeCell ref="O185:S185"/>
    <mergeCell ref="T183:X183"/>
    <mergeCell ref="T184:X184"/>
    <mergeCell ref="O183:S183"/>
    <mergeCell ref="O184:S184"/>
    <mergeCell ref="T179:X179"/>
    <mergeCell ref="T182:X182"/>
    <mergeCell ref="T175:X175"/>
    <mergeCell ref="L161:P161"/>
    <mergeCell ref="L163:P163"/>
    <mergeCell ref="Q163:U163"/>
    <mergeCell ref="V163:Z163"/>
    <mergeCell ref="L165:P165"/>
    <mergeCell ref="A1:Z1"/>
    <mergeCell ref="N76:R76"/>
    <mergeCell ref="M36:R36"/>
    <mergeCell ref="T36:W36"/>
    <mergeCell ref="B82:C82"/>
    <mergeCell ref="D82:G82"/>
    <mergeCell ref="J70:M70"/>
    <mergeCell ref="F66:J66"/>
    <mergeCell ref="J71:M71"/>
    <mergeCell ref="C71:D71"/>
    <mergeCell ref="F33:I33"/>
    <mergeCell ref="E68:I69"/>
    <mergeCell ref="E70:I70"/>
    <mergeCell ref="E71:I71"/>
    <mergeCell ref="B68:B69"/>
    <mergeCell ref="E76:I76"/>
    <mergeCell ref="N72:R72"/>
    <mergeCell ref="V156:Z156"/>
    <mergeCell ref="N70:R70"/>
    <mergeCell ref="L82:O82"/>
    <mergeCell ref="N74:R74"/>
    <mergeCell ref="P38:Y39"/>
    <mergeCell ref="G49:Y50"/>
    <mergeCell ref="N73:R73"/>
    <mergeCell ref="B26:E27"/>
    <mergeCell ref="Q155:U155"/>
    <mergeCell ref="V155:Z155"/>
    <mergeCell ref="L155:P155"/>
    <mergeCell ref="V139:Z139"/>
    <mergeCell ref="G151:K151"/>
    <mergeCell ref="C72:D72"/>
    <mergeCell ref="E72:I72"/>
    <mergeCell ref="C76:D76"/>
    <mergeCell ref="C73:D73"/>
    <mergeCell ref="C74:D74"/>
    <mergeCell ref="G150:K150"/>
    <mergeCell ref="Q129:U129"/>
    <mergeCell ref="V129:Z129"/>
    <mergeCell ref="G113:K113"/>
    <mergeCell ref="L113:P113"/>
    <mergeCell ref="Q113:U113"/>
    <mergeCell ref="V113:Z113"/>
    <mergeCell ref="V166:Z166"/>
    <mergeCell ref="T174:X174"/>
    <mergeCell ref="T170:X170"/>
    <mergeCell ref="O170:S170"/>
    <mergeCell ref="O172:S172"/>
    <mergeCell ref="O173:S173"/>
    <mergeCell ref="T173:X173"/>
    <mergeCell ref="T172:X172"/>
    <mergeCell ref="L150:P150"/>
    <mergeCell ref="Q150:U150"/>
    <mergeCell ref="V150:Z150"/>
    <mergeCell ref="L151:P151"/>
    <mergeCell ref="Q151:U151"/>
    <mergeCell ref="V151:Z151"/>
    <mergeCell ref="V165:Z165"/>
    <mergeCell ref="L157:P157"/>
    <mergeCell ref="Q161:U161"/>
    <mergeCell ref="V161:Z161"/>
    <mergeCell ref="L159:P159"/>
    <mergeCell ref="Q159:U159"/>
    <mergeCell ref="V159:Z159"/>
    <mergeCell ref="L160:P160"/>
    <mergeCell ref="Q160:U160"/>
    <mergeCell ref="V160:Z160"/>
    <mergeCell ref="N75:R75"/>
    <mergeCell ref="L108:M108"/>
    <mergeCell ref="O108:P108"/>
    <mergeCell ref="Q109:U109"/>
    <mergeCell ref="D86:G86"/>
    <mergeCell ref="L88:O88"/>
    <mergeCell ref="H92:K92"/>
    <mergeCell ref="D99:G99"/>
    <mergeCell ref="L94:O94"/>
    <mergeCell ref="H96:K96"/>
    <mergeCell ref="E75:I75"/>
    <mergeCell ref="Q108:R108"/>
    <mergeCell ref="J108:K108"/>
    <mergeCell ref="V137:Z137"/>
    <mergeCell ref="G133:K133"/>
    <mergeCell ref="L133:P133"/>
    <mergeCell ref="Q133:U133"/>
    <mergeCell ref="G139:K139"/>
    <mergeCell ref="L139:P139"/>
    <mergeCell ref="Q139:U139"/>
    <mergeCell ref="V133:Z133"/>
    <mergeCell ref="V124:Z124"/>
    <mergeCell ref="J72:M72"/>
    <mergeCell ref="J76:M76"/>
    <mergeCell ref="J75:M75"/>
    <mergeCell ref="V123:Z123"/>
    <mergeCell ref="V122:Z122"/>
    <mergeCell ref="T108:U108"/>
    <mergeCell ref="G136:K136"/>
    <mergeCell ref="L136:P136"/>
    <mergeCell ref="Q136:U136"/>
    <mergeCell ref="V136:Z136"/>
    <mergeCell ref="Q119:U119"/>
    <mergeCell ref="L121:P121"/>
    <mergeCell ref="V119:Z119"/>
    <mergeCell ref="Q120:U120"/>
    <mergeCell ref="V120:Z120"/>
    <mergeCell ref="V121:Z121"/>
    <mergeCell ref="V118:Z118"/>
    <mergeCell ref="V109:Z109"/>
    <mergeCell ref="G110:K110"/>
    <mergeCell ref="L110:P110"/>
    <mergeCell ref="Q110:U110"/>
    <mergeCell ref="J73:M73"/>
    <mergeCell ref="J74:M74"/>
    <mergeCell ref="G111:K111"/>
    <mergeCell ref="V108:W108"/>
    <mergeCell ref="Y108:Z108"/>
    <mergeCell ref="H87:K87"/>
    <mergeCell ref="L87:O87"/>
    <mergeCell ref="Q106:U106"/>
    <mergeCell ref="L84:O84"/>
    <mergeCell ref="Q118:U118"/>
    <mergeCell ref="L89:O89"/>
    <mergeCell ref="L90:O90"/>
    <mergeCell ref="V110:Z110"/>
    <mergeCell ref="V111:Z111"/>
    <mergeCell ref="V106:Z106"/>
    <mergeCell ref="V112:Z112"/>
    <mergeCell ref="L111:P111"/>
    <mergeCell ref="Q111:U111"/>
    <mergeCell ref="P40:Z41"/>
    <mergeCell ref="V147:Z147"/>
    <mergeCell ref="G145:K145"/>
    <mergeCell ref="L145:P145"/>
    <mergeCell ref="Q145:U145"/>
    <mergeCell ref="V145:Z145"/>
    <mergeCell ref="G141:K141"/>
    <mergeCell ref="L141:P141"/>
    <mergeCell ref="Q141:U141"/>
    <mergeCell ref="V141:Z141"/>
    <mergeCell ref="G143:K143"/>
    <mergeCell ref="L143:P143"/>
    <mergeCell ref="Q143:U143"/>
    <mergeCell ref="V143:Z143"/>
    <mergeCell ref="L147:P147"/>
    <mergeCell ref="Q147:U147"/>
    <mergeCell ref="H51:O51"/>
    <mergeCell ref="Q51:Y51"/>
    <mergeCell ref="H52:O52"/>
    <mergeCell ref="Q52:Y52"/>
    <mergeCell ref="H54:O54"/>
    <mergeCell ref="Q54:Y54"/>
    <mergeCell ref="L106:P106"/>
    <mergeCell ref="V125:Z125"/>
    <mergeCell ref="B203:B204"/>
    <mergeCell ref="C203:G204"/>
    <mergeCell ref="H203:N204"/>
    <mergeCell ref="O203:S204"/>
    <mergeCell ref="T203:X204"/>
    <mergeCell ref="C205:G205"/>
    <mergeCell ref="H205:N205"/>
    <mergeCell ref="O205:S205"/>
    <mergeCell ref="T205:X205"/>
    <mergeCell ref="C206:G206"/>
    <mergeCell ref="H206:N206"/>
    <mergeCell ref="O206:S206"/>
    <mergeCell ref="T206:X206"/>
    <mergeCell ref="C207:G207"/>
    <mergeCell ref="H207:N207"/>
    <mergeCell ref="O207:S207"/>
    <mergeCell ref="T207:X207"/>
    <mergeCell ref="C208:G208"/>
    <mergeCell ref="H208:N208"/>
    <mergeCell ref="O208:S208"/>
    <mergeCell ref="T208:X208"/>
    <mergeCell ref="C209:G209"/>
    <mergeCell ref="H209:N209"/>
    <mergeCell ref="O209:S209"/>
    <mergeCell ref="T209:X209"/>
    <mergeCell ref="C210:G210"/>
    <mergeCell ref="H210:N210"/>
    <mergeCell ref="O210:S210"/>
    <mergeCell ref="T210:X210"/>
    <mergeCell ref="C211:G211"/>
    <mergeCell ref="H211:N211"/>
    <mergeCell ref="O211:S211"/>
    <mergeCell ref="T211:X211"/>
    <mergeCell ref="C215:G215"/>
    <mergeCell ref="H215:N215"/>
    <mergeCell ref="O215:S215"/>
    <mergeCell ref="T215:X215"/>
    <mergeCell ref="C216:G216"/>
    <mergeCell ref="H216:N216"/>
    <mergeCell ref="O216:S216"/>
    <mergeCell ref="T216:X216"/>
    <mergeCell ref="C212:G212"/>
    <mergeCell ref="H212:N212"/>
    <mergeCell ref="O212:S212"/>
    <mergeCell ref="T212:X212"/>
    <mergeCell ref="C213:G213"/>
    <mergeCell ref="H213:N213"/>
    <mergeCell ref="O213:S213"/>
    <mergeCell ref="T213:X213"/>
    <mergeCell ref="C214:G214"/>
    <mergeCell ref="H214:N214"/>
    <mergeCell ref="O214:S214"/>
    <mergeCell ref="T214:X214"/>
  </mergeCells>
  <dataValidations count="6">
    <dataValidation type="whole" allowBlank="1" showInputMessage="1" showErrorMessage="1" error="Maximum 3 dependants" sqref="F65">
      <formula1>0</formula1>
      <formula2>3</formula2>
    </dataValidation>
    <dataValidation type="list" allowBlank="1" showInputMessage="1" showErrorMessage="1" sqref="G24">
      <formula1>"KK,HB,PH,MT,-"</formula1>
    </dataValidation>
    <dataValidation type="list" allowBlank="1" showInputMessage="1" showErrorMessage="1" sqref="F64:J64">
      <formula1>"SINGLE,MARRIED,MARRIED+"</formula1>
    </dataValidation>
    <dataValidation type="list" allowBlank="1" showInputMessage="1" showErrorMessage="1" sqref="E71:I75">
      <formula1>"Wife, Child, Brother/Sister, Husband,  Other"</formula1>
    </dataValidation>
    <dataValidation type="list" allowBlank="1" showInputMessage="1" showErrorMessage="1" sqref="N71:R75">
      <formula1>"Housewife, Employee, Student, -"</formula1>
    </dataValidation>
    <dataValidation type="list" allowBlank="1" showInputMessage="1" showErrorMessage="1" sqref="C206:G215">
      <formula1>$AH$206:$AH$213</formula1>
    </dataValidation>
  </dataValidations>
  <printOptions horizontalCentered="1"/>
  <pageMargins left="0.7" right="0.7" top="0.75" bottom="0.75" header="0.3" footer="0.3"/>
  <pageSetup paperSize="5" scale="65" fitToHeight="0" orientation="portrait"/>
  <headerFooter alignWithMargins="0">
    <oddHeader>&amp;R&amp;"Arial,Bold"&amp;14C.2.1.&amp;P</oddHeader>
    <oddFooter>&amp;L&amp;8Page &amp;P of &amp;N&amp;R&amp;8Printed on &amp;D,&amp;T</oddFooter>
  </headerFooter>
  <rowBreaks count="2" manualBreakCount="2">
    <brk id="77" max="25" man="1"/>
    <brk id="152" max="25" man="1"/>
  </rowBreaks>
  <drawing r:id="rId2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ff00"/>
    <pageSetUpPr fitToPage="1"/>
  </sheetPr>
  <dimension ref="A1:AD164"/>
  <sheetViews>
    <sheetView zoomScaleNormal="85" zoomScaleSheetLayoutView="100" view="pageBreakPreview" workbookViewId="0">
      <selection pane="topLeft" activeCell="A144" sqref="A144"/>
    </sheetView>
  </sheetViews>
  <sheetFormatPr defaultColWidth="18.7109375" defaultRowHeight="15" baseColWidth="0"/>
  <cols>
    <col min="1" max="1" width="5.7109375" style="345" customWidth="1"/>
    <col min="2" max="2" width="4.7109375" style="345" customWidth="1"/>
    <col min="3" max="3" width="19.421875" style="345" customWidth="1"/>
    <col min="4" max="4" width="7.13671875" style="345" customWidth="1"/>
    <col min="5" max="5" width="8.13671875" style="345" customWidth="1"/>
    <col min="6" max="8" width="16.7109375" style="345" customWidth="1"/>
    <col min="9" max="10" width="18.13671875" style="345" customWidth="1"/>
    <col min="11" max="11" width="18.7109375" style="345" customWidth="1"/>
    <col min="12" max="12" width="5.7109375" style="345" bestFit="1" customWidth="1"/>
    <col min="13" max="13" width="31.7109375" style="345" customWidth="1"/>
    <col min="14" max="14" width="22.421875" style="345" bestFit="1" customWidth="1"/>
    <col min="15" max="15" width="8.7109375" style="345" bestFit="1" customWidth="1"/>
    <col min="16" max="16" width="25.99609375" style="345" bestFit="1" customWidth="1"/>
    <col min="17" max="17" width="23.13671875" style="345" bestFit="1" customWidth="1"/>
    <col min="18" max="18" width="34.13671875" style="345" bestFit="1" customWidth="1"/>
    <col min="19" max="19" width="23.421875" style="345" bestFit="1" customWidth="1"/>
    <col min="20" max="16384" width="18.7109375" style="345" customWidth="1"/>
  </cols>
  <sheetData>
    <row r="1" spans="1:30" s="325" customFormat="1" ht="27" customHeight="1">
      <c r="A1" s="1729" t="s">
        <v>474</v>
      </c>
      <c r="B1" s="1729"/>
      <c r="C1" s="1729"/>
      <c r="D1" s="1729"/>
      <c r="E1" s="1729"/>
      <c r="F1" s="1729"/>
      <c r="G1" s="1729"/>
      <c r="H1" s="1729"/>
      <c r="I1" s="1729"/>
      <c r="J1" s="1729"/>
      <c r="K1" s="324"/>
      <c r="L1" s="324"/>
      <c r="M1" s="324"/>
      <c r="N1" s="324"/>
      <c r="O1" s="324"/>
      <c r="P1" s="324"/>
      <c r="Q1" s="324"/>
      <c r="R1" s="324"/>
      <c r="S1" s="324"/>
      <c r="T1" s="324"/>
      <c r="U1" s="324"/>
      <c r="V1" s="324"/>
      <c r="W1" s="324"/>
      <c r="X1" s="324"/>
      <c r="Y1" s="324"/>
      <c r="Z1" s="324"/>
      <c r="AA1" s="324"/>
      <c r="AB1" s="324"/>
      <c r="AC1" s="324"/>
      <c r="AD1" s="324"/>
    </row>
    <row r="2" spans="1:30" s="247" customFormat="1" ht="12.75" customHeight="1">
      <c r="A2" s="524"/>
      <c r="B2" s="524"/>
      <c r="C2" s="524"/>
      <c r="D2" s="524"/>
      <c r="E2" s="524"/>
      <c r="F2" s="524"/>
      <c r="G2" s="524"/>
      <c r="H2" s="524"/>
      <c r="I2" s="524"/>
      <c r="J2" s="524"/>
      <c r="K2" s="323"/>
      <c r="L2" s="323"/>
      <c r="M2" s="323"/>
      <c r="N2" s="323"/>
      <c r="O2" s="323"/>
      <c r="P2" s="323"/>
      <c r="Q2" s="323"/>
      <c r="R2" s="323"/>
      <c r="S2" s="323"/>
      <c r="T2" s="323"/>
      <c r="U2" s="323"/>
      <c r="V2" s="323"/>
      <c r="W2" s="323"/>
      <c r="X2" s="323"/>
      <c r="Y2" s="323"/>
      <c r="Z2" s="323"/>
      <c r="AA2" s="323"/>
      <c r="AB2" s="323"/>
      <c r="AC2" s="323"/>
      <c r="AD2" s="323"/>
    </row>
    <row r="3" spans="1:10" s="321" customFormat="1" ht="17.25" customHeight="1">
      <c r="A3" s="521" t="s">
        <v>386</v>
      </c>
      <c r="B3" s="522" t="s">
        <v>461</v>
      </c>
      <c r="C3" s="522"/>
      <c r="D3" s="522"/>
      <c r="E3" s="522"/>
      <c r="F3" s="522"/>
      <c r="G3" s="522"/>
      <c r="H3" s="523"/>
      <c r="I3" s="523"/>
      <c r="J3" s="523"/>
    </row>
    <row r="4" spans="1:10" customHeight="1" thickBot="1">
      <c r="A4" s="525"/>
      <c r="B4" s="525"/>
      <c r="C4" s="525"/>
      <c r="D4" s="525"/>
      <c r="E4" s="525"/>
      <c r="F4" s="525"/>
      <c r="G4" s="525"/>
      <c r="H4" s="525"/>
      <c r="I4" s="525"/>
      <c r="J4" s="525"/>
    </row>
    <row r="5" spans="1:10" customHeight="1" thickTop="1">
      <c r="A5" s="525"/>
      <c r="B5" s="1723" t="s">
        <v>512</v>
      </c>
      <c r="C5" s="1724"/>
      <c r="D5" s="1727" t="s">
        <v>997</v>
      </c>
      <c r="E5" s="1724"/>
      <c r="F5" s="1721" t="s">
        <v>486</v>
      </c>
      <c r="G5" s="1721"/>
      <c r="H5" s="1695" t="s">
        <v>475</v>
      </c>
      <c r="I5" s="1721" t="s">
        <v>996</v>
      </c>
      <c r="J5" s="1722"/>
    </row>
    <row r="6" spans="1:10" customHeight="1" thickBot="1">
      <c r="A6" s="525"/>
      <c r="B6" s="1725"/>
      <c r="C6" s="1726"/>
      <c r="D6" s="1728"/>
      <c r="E6" s="1726"/>
      <c r="F6" s="713" t="s">
        <v>994</v>
      </c>
      <c r="G6" s="713" t="s">
        <v>995</v>
      </c>
      <c r="H6" s="1697"/>
      <c r="I6" s="713" t="s">
        <v>994</v>
      </c>
      <c r="J6" s="714" t="s">
        <v>995</v>
      </c>
    </row>
    <row r="7" spans="1:10" customHeight="1" thickTop="1">
      <c r="A7" s="525"/>
      <c r="B7" s="709"/>
      <c r="C7" s="710"/>
      <c r="D7" s="1703"/>
      <c r="E7" s="1704"/>
      <c r="F7" s="711"/>
      <c r="G7" s="711"/>
      <c r="H7" s="712"/>
      <c r="I7" s="718"/>
      <c r="J7" s="715"/>
    </row>
    <row r="8" spans="1:10">
      <c r="A8" s="525"/>
      <c r="B8" s="1700" t="s">
        <v>1458</v>
      </c>
      <c r="C8" s="1699"/>
      <c r="D8" s="1698" t="s">
        <v>509</v>
      </c>
      <c r="E8" s="1699"/>
      <c r="F8" s="341">
        <v>388140</v>
      </c>
      <c r="G8" s="341"/>
      <c r="H8" s="359">
        <v>129.17</v>
      </c>
      <c r="I8" s="719">
        <f t="shared" si="0" ref="I8:I21">ROUNDUP(F8*H8,0)</f>
        <v>0</v>
      </c>
      <c r="J8" s="716">
        <f>ROUNDUP(G8*H8,0)</f>
        <v>0</v>
      </c>
    </row>
    <row r="9" spans="1:10">
      <c r="A9" s="525"/>
      <c r="B9" s="1700"/>
      <c r="C9" s="1699"/>
      <c r="D9" s="1698"/>
      <c r="E9" s="1699"/>
      <c r="F9" s="341"/>
      <c r="G9" s="341"/>
      <c r="H9" s="359"/>
      <c r="I9" s="719">
        <f t="shared" si="0">ROUNDUP(F9*H9,0)</f>
        <v>0</v>
      </c>
      <c r="J9" s="716">
        <f t="shared" si="1" ref="J9:J21">ROUNDUP(G9*H9,0)</f>
        <v>0</v>
      </c>
    </row>
    <row r="10" spans="1:10">
      <c r="A10" s="525"/>
      <c r="B10" s="1700"/>
      <c r="C10" s="1699"/>
      <c r="D10" s="1698"/>
      <c r="E10" s="1699"/>
      <c r="F10" s="341"/>
      <c r="G10" s="341"/>
      <c r="H10" s="359"/>
      <c r="I10" s="719">
        <f t="shared" si="0">ROUNDUP(F10*H10,0)</f>
        <v>0</v>
      </c>
      <c r="J10" s="716">
        <f t="shared" si="1">ROUNDUP(G10*H10,0)</f>
        <v>0</v>
      </c>
    </row>
    <row r="11" spans="1:10">
      <c r="A11" s="525"/>
      <c r="B11" s="1700"/>
      <c r="C11" s="1699"/>
      <c r="D11" s="1698"/>
      <c r="E11" s="1699"/>
      <c r="F11" s="341"/>
      <c r="G11" s="341"/>
      <c r="H11" s="359"/>
      <c r="I11" s="719">
        <f t="shared" si="0">ROUNDUP(F11*H11,0)</f>
        <v>0</v>
      </c>
      <c r="J11" s="716">
        <f t="shared" si="1">ROUNDUP(G11*H11,0)</f>
        <v>0</v>
      </c>
    </row>
    <row r="12" spans="1:10">
      <c r="A12" s="525"/>
      <c r="B12" s="1700"/>
      <c r="C12" s="1699"/>
      <c r="D12" s="1698"/>
      <c r="E12" s="1699"/>
      <c r="F12" s="341"/>
      <c r="G12" s="341"/>
      <c r="H12" s="359"/>
      <c r="I12" s="719">
        <f t="shared" si="0">ROUNDUP(F12*H12,0)</f>
        <v>0</v>
      </c>
      <c r="J12" s="716">
        <f t="shared" si="1">ROUNDUP(G12*H12,0)</f>
        <v>0</v>
      </c>
    </row>
    <row r="13" spans="1:10">
      <c r="A13" s="525"/>
      <c r="B13" s="1700"/>
      <c r="C13" s="1699"/>
      <c r="D13" s="1698"/>
      <c r="E13" s="1699"/>
      <c r="F13" s="341"/>
      <c r="G13" s="341"/>
      <c r="H13" s="359"/>
      <c r="I13" s="719">
        <f t="shared" si="0">ROUNDUP(F13*H13,0)</f>
        <v>0</v>
      </c>
      <c r="J13" s="716">
        <f t="shared" si="1">ROUNDUP(G13*H13,0)</f>
        <v>0</v>
      </c>
    </row>
    <row r="14" spans="1:10">
      <c r="A14" s="525"/>
      <c r="B14" s="1700"/>
      <c r="C14" s="1699"/>
      <c r="D14" s="1698"/>
      <c r="E14" s="1699"/>
      <c r="F14" s="341"/>
      <c r="G14" s="341"/>
      <c r="H14" s="359"/>
      <c r="I14" s="719">
        <f t="shared" si="0">ROUNDUP(F14*H14,0)</f>
        <v>0</v>
      </c>
      <c r="J14" s="716">
        <f t="shared" si="1">ROUNDUP(G14*H14,0)</f>
        <v>0</v>
      </c>
    </row>
    <row r="15" spans="1:10">
      <c r="A15" s="525"/>
      <c r="B15" s="1700"/>
      <c r="C15" s="1699"/>
      <c r="D15" s="1698"/>
      <c r="E15" s="1699"/>
      <c r="F15" s="341"/>
      <c r="G15" s="341"/>
      <c r="H15" s="359"/>
      <c r="I15" s="719">
        <f t="shared" si="0">ROUNDUP(F15*H15,0)</f>
        <v>0</v>
      </c>
      <c r="J15" s="716">
        <f t="shared" si="1">ROUNDUP(G15*H15,0)</f>
        <v>0</v>
      </c>
    </row>
    <row r="16" spans="1:10">
      <c r="A16" s="525"/>
      <c r="B16" s="1700"/>
      <c r="C16" s="1699"/>
      <c r="D16" s="1698"/>
      <c r="E16" s="1699"/>
      <c r="F16" s="341"/>
      <c r="G16" s="341"/>
      <c r="H16" s="359"/>
      <c r="I16" s="719">
        <f t="shared" si="0">ROUNDUP(F16*H16,0)</f>
        <v>0</v>
      </c>
      <c r="J16" s="716">
        <f t="shared" si="1">ROUNDUP(G16*H16,0)</f>
        <v>0</v>
      </c>
    </row>
    <row r="17" spans="1:10">
      <c r="A17" s="525"/>
      <c r="B17" s="1700"/>
      <c r="C17" s="1699"/>
      <c r="D17" s="1698"/>
      <c r="E17" s="1699"/>
      <c r="F17" s="341"/>
      <c r="G17" s="341"/>
      <c r="H17" s="359"/>
      <c r="I17" s="719">
        <f t="shared" si="0">ROUNDUP(F17*H17,0)</f>
        <v>0</v>
      </c>
      <c r="J17" s="716">
        <f t="shared" si="1">ROUNDUP(G17*H17,0)</f>
        <v>0</v>
      </c>
    </row>
    <row r="18" spans="1:10">
      <c r="A18" s="525"/>
      <c r="B18" s="1700"/>
      <c r="C18" s="1699"/>
      <c r="D18" s="1698"/>
      <c r="E18" s="1699"/>
      <c r="F18" s="341"/>
      <c r="G18" s="341"/>
      <c r="H18" s="359"/>
      <c r="I18" s="719">
        <f t="shared" si="0">ROUNDUP(F18*H18,0)</f>
        <v>0</v>
      </c>
      <c r="J18" s="716">
        <f t="shared" si="1">ROUNDUP(G18*H18,0)</f>
        <v>0</v>
      </c>
    </row>
    <row r="19" spans="1:10">
      <c r="A19" s="525"/>
      <c r="B19" s="1700"/>
      <c r="C19" s="1699"/>
      <c r="D19" s="1698"/>
      <c r="E19" s="1699"/>
      <c r="F19" s="341"/>
      <c r="G19" s="341"/>
      <c r="H19" s="359"/>
      <c r="I19" s="719">
        <f t="shared" si="0">ROUNDUP(F19*H19,0)</f>
        <v>0</v>
      </c>
      <c r="J19" s="716">
        <f t="shared" si="1">ROUNDUP(G19*H19,0)</f>
        <v>0</v>
      </c>
    </row>
    <row r="20" spans="1:10">
      <c r="A20" s="525"/>
      <c r="B20" s="1700"/>
      <c r="C20" s="1699"/>
      <c r="D20" s="1698"/>
      <c r="E20" s="1699"/>
      <c r="F20" s="341"/>
      <c r="G20" s="341"/>
      <c r="H20" s="359"/>
      <c r="I20" s="719">
        <f t="shared" si="0">ROUNDUP(F20*H20,0)</f>
        <v>0</v>
      </c>
      <c r="J20" s="716">
        <f t="shared" si="1">ROUNDUP(G20*H20,0)</f>
        <v>0</v>
      </c>
    </row>
    <row r="21" spans="1:10">
      <c r="A21" s="525"/>
      <c r="B21" s="1700"/>
      <c r="C21" s="1699"/>
      <c r="D21" s="1698"/>
      <c r="E21" s="1699"/>
      <c r="F21" s="341"/>
      <c r="G21" s="341"/>
      <c r="H21" s="359"/>
      <c r="I21" s="719">
        <f t="shared" si="0">ROUNDUP(F21*H21,0)</f>
        <v>0</v>
      </c>
      <c r="J21" s="716">
        <f t="shared" si="1">ROUNDUP(G21*H21,0)</f>
        <v>0</v>
      </c>
    </row>
    <row r="22" spans="1:10" customHeight="1" thickBot="1">
      <c r="A22" s="525"/>
      <c r="B22" s="530"/>
      <c r="C22" s="531"/>
      <c r="D22" s="1705"/>
      <c r="E22" s="1706"/>
      <c r="F22" s="532"/>
      <c r="G22" s="532"/>
      <c r="H22" s="533"/>
      <c r="I22" s="550"/>
      <c r="J22" s="717"/>
    </row>
    <row r="23" spans="1:10" ht="15.75" customHeight="1" thickTop="1" thickBot="1">
      <c r="A23" s="525"/>
      <c r="B23" s="535"/>
      <c r="C23" s="535"/>
      <c r="D23" s="535"/>
      <c r="E23" s="535"/>
      <c r="F23" s="535"/>
      <c r="G23" s="535"/>
      <c r="H23" s="536"/>
      <c r="I23" s="537"/>
      <c r="J23" s="537"/>
    </row>
    <row r="24" spans="1:12" s="348" customFormat="1" ht="24" customHeight="1" thickTop="1" thickBot="1">
      <c r="A24" s="538"/>
      <c r="B24" s="552"/>
      <c r="C24" s="1693"/>
      <c r="D24" s="1693"/>
      <c r="E24" s="539" t="s">
        <v>234</v>
      </c>
      <c r="F24" s="349">
        <f>SUM(F7:F22)</f>
        <v>0</v>
      </c>
      <c r="G24" s="349">
        <f>SUM(G7:G22)</f>
        <v>0</v>
      </c>
      <c r="H24" s="540"/>
      <c r="I24" s="350">
        <f>SUM(I7:I22)</f>
        <v>0</v>
      </c>
      <c r="J24" s="350">
        <f>SUM(J7:J22)</f>
        <v>0</v>
      </c>
      <c r="K24" s="345"/>
      <c r="L24" s="345"/>
    </row>
    <row r="25" spans="1:10" customHeight="1" thickTop="1">
      <c r="A25" s="525"/>
      <c r="B25" s="535"/>
      <c r="C25" s="535"/>
      <c r="D25" s="535"/>
      <c r="E25" s="535"/>
      <c r="F25" s="535"/>
      <c r="G25" s="535"/>
      <c r="H25" s="536"/>
      <c r="I25" s="536"/>
      <c r="J25" s="536"/>
    </row>
    <row r="26" spans="1:10" s="321" customFormat="1" ht="17.25" customHeight="1">
      <c r="A26" s="521" t="s">
        <v>387</v>
      </c>
      <c r="B26" s="522" t="s">
        <v>461</v>
      </c>
      <c r="C26" s="522"/>
      <c r="D26" s="522"/>
      <c r="E26" s="522"/>
      <c r="F26" s="522"/>
      <c r="G26" s="522"/>
      <c r="H26" s="523"/>
      <c r="I26" s="523"/>
      <c r="J26" s="523"/>
    </row>
    <row r="27" spans="1:10" customHeight="1" thickBot="1">
      <c r="A27" s="525"/>
      <c r="B27" s="525"/>
      <c r="C27" s="525"/>
      <c r="D27" s="525"/>
      <c r="E27" s="525"/>
      <c r="F27" s="525"/>
      <c r="G27" s="525"/>
      <c r="H27" s="525"/>
      <c r="I27" s="525"/>
      <c r="J27" s="525"/>
    </row>
    <row r="28" spans="1:10" customHeight="1" thickTop="1">
      <c r="A28" s="525"/>
      <c r="B28" s="1694" t="s">
        <v>512</v>
      </c>
      <c r="C28" s="1695"/>
      <c r="D28" s="1695" t="s">
        <v>997</v>
      </c>
      <c r="E28" s="1695"/>
      <c r="F28" s="1721" t="s">
        <v>486</v>
      </c>
      <c r="G28" s="1721"/>
      <c r="H28" s="1695" t="s">
        <v>475</v>
      </c>
      <c r="I28" s="1721" t="s">
        <v>996</v>
      </c>
      <c r="J28" s="1722"/>
    </row>
    <row r="29" spans="1:10" customHeight="1" thickBot="1">
      <c r="A29" s="525"/>
      <c r="B29" s="1696"/>
      <c r="C29" s="1697"/>
      <c r="D29" s="1697"/>
      <c r="E29" s="1697"/>
      <c r="F29" s="713" t="s">
        <v>994</v>
      </c>
      <c r="G29" s="713" t="s">
        <v>995</v>
      </c>
      <c r="H29" s="1697"/>
      <c r="I29" s="713" t="s">
        <v>994</v>
      </c>
      <c r="J29" s="714" t="s">
        <v>995</v>
      </c>
    </row>
    <row r="30" spans="1:10" customHeight="1" thickTop="1">
      <c r="A30" s="525"/>
      <c r="B30" s="1701"/>
      <c r="C30" s="1702"/>
      <c r="D30" s="527"/>
      <c r="E30" s="527"/>
      <c r="F30" s="527"/>
      <c r="G30" s="527"/>
      <c r="H30" s="528"/>
      <c r="I30" s="720"/>
      <c r="J30" s="529"/>
    </row>
    <row r="31" spans="1:10">
      <c r="A31" s="525"/>
      <c r="B31" s="1687"/>
      <c r="C31" s="1688"/>
      <c r="D31" s="1688"/>
      <c r="E31" s="1688"/>
      <c r="F31" s="341"/>
      <c r="G31" s="341"/>
      <c r="H31" s="359"/>
      <c r="I31" s="719">
        <f t="shared" si="2" ref="I31:I44">ROUNDUP(F31*H31,0)</f>
        <v>0</v>
      </c>
      <c r="J31" s="716">
        <f>ROUNDUP(G31*H31,0)</f>
        <v>0</v>
      </c>
    </row>
    <row r="32" spans="1:10">
      <c r="A32" s="525"/>
      <c r="B32" s="1687"/>
      <c r="C32" s="1688"/>
      <c r="D32" s="1688"/>
      <c r="E32" s="1688"/>
      <c r="F32" s="341"/>
      <c r="G32" s="341"/>
      <c r="H32" s="359"/>
      <c r="I32" s="719">
        <f t="shared" si="2">ROUNDUP(F32*H32,0)</f>
        <v>0</v>
      </c>
      <c r="J32" s="716">
        <f t="shared" si="3" ref="J32:J44">ROUNDUP(G32*H32,0)</f>
        <v>0</v>
      </c>
    </row>
    <row r="33" spans="1:10">
      <c r="A33" s="525"/>
      <c r="B33" s="1687"/>
      <c r="C33" s="1688"/>
      <c r="D33" s="1688"/>
      <c r="E33" s="1688"/>
      <c r="F33" s="341"/>
      <c r="G33" s="341"/>
      <c r="H33" s="359"/>
      <c r="I33" s="719">
        <f t="shared" si="2">ROUNDUP(F33*H33,0)</f>
        <v>0</v>
      </c>
      <c r="J33" s="716">
        <f t="shared" si="3">ROUNDUP(G33*H33,0)</f>
        <v>0</v>
      </c>
    </row>
    <row r="34" spans="1:10">
      <c r="A34" s="525"/>
      <c r="B34" s="1687"/>
      <c r="C34" s="1688"/>
      <c r="D34" s="1688"/>
      <c r="E34" s="1688"/>
      <c r="F34" s="341"/>
      <c r="G34" s="341"/>
      <c r="H34" s="359"/>
      <c r="I34" s="719">
        <f t="shared" si="2">ROUNDUP(F34*H34,0)</f>
        <v>0</v>
      </c>
      <c r="J34" s="716">
        <f t="shared" si="3">ROUNDUP(G34*H34,0)</f>
        <v>0</v>
      </c>
    </row>
    <row r="35" spans="1:10">
      <c r="A35" s="525"/>
      <c r="B35" s="1687"/>
      <c r="C35" s="1688"/>
      <c r="D35" s="1688"/>
      <c r="E35" s="1688"/>
      <c r="F35" s="341"/>
      <c r="G35" s="341"/>
      <c r="H35" s="359"/>
      <c r="I35" s="719">
        <f t="shared" si="2">ROUNDUP(F35*H35,0)</f>
        <v>0</v>
      </c>
      <c r="J35" s="716">
        <f t="shared" si="3">ROUNDUP(G35*H35,0)</f>
        <v>0</v>
      </c>
    </row>
    <row r="36" spans="1:10">
      <c r="A36" s="525"/>
      <c r="B36" s="1687"/>
      <c r="C36" s="1688"/>
      <c r="D36" s="1688"/>
      <c r="E36" s="1688"/>
      <c r="F36" s="341"/>
      <c r="G36" s="341"/>
      <c r="H36" s="359"/>
      <c r="I36" s="719">
        <f t="shared" si="2">ROUNDUP(F36*H36,0)</f>
        <v>0</v>
      </c>
      <c r="J36" s="716">
        <f t="shared" si="3">ROUNDUP(G36*H36,0)</f>
        <v>0</v>
      </c>
    </row>
    <row r="37" spans="1:10">
      <c r="A37" s="525"/>
      <c r="B37" s="1687"/>
      <c r="C37" s="1688"/>
      <c r="D37" s="1688"/>
      <c r="E37" s="1688"/>
      <c r="F37" s="341"/>
      <c r="G37" s="341"/>
      <c r="H37" s="359"/>
      <c r="I37" s="719">
        <f t="shared" si="2">ROUNDUP(F37*H37,0)</f>
        <v>0</v>
      </c>
      <c r="J37" s="716">
        <f t="shared" si="3">ROUNDUP(G37*H37,0)</f>
        <v>0</v>
      </c>
    </row>
    <row r="38" spans="1:10">
      <c r="A38" s="525"/>
      <c r="B38" s="1687"/>
      <c r="C38" s="1688"/>
      <c r="D38" s="1688"/>
      <c r="E38" s="1688"/>
      <c r="F38" s="341"/>
      <c r="G38" s="341"/>
      <c r="H38" s="359"/>
      <c r="I38" s="719">
        <f t="shared" si="2">ROUNDUP(F38*H38,0)</f>
        <v>0</v>
      </c>
      <c r="J38" s="716">
        <f t="shared" si="3">ROUNDUP(G38*H38,0)</f>
        <v>0</v>
      </c>
    </row>
    <row r="39" spans="1:10">
      <c r="A39" s="525"/>
      <c r="B39" s="1687"/>
      <c r="C39" s="1688"/>
      <c r="D39" s="1688"/>
      <c r="E39" s="1688"/>
      <c r="F39" s="341"/>
      <c r="G39" s="341"/>
      <c r="H39" s="359"/>
      <c r="I39" s="719">
        <f t="shared" si="2">ROUNDUP(F39*H39,0)</f>
        <v>0</v>
      </c>
      <c r="J39" s="716">
        <f t="shared" si="3">ROUNDUP(G39*H39,0)</f>
        <v>0</v>
      </c>
    </row>
    <row r="40" spans="1:10">
      <c r="A40" s="525"/>
      <c r="B40" s="1687"/>
      <c r="C40" s="1688"/>
      <c r="D40" s="1688"/>
      <c r="E40" s="1688"/>
      <c r="F40" s="341"/>
      <c r="G40" s="341"/>
      <c r="H40" s="359"/>
      <c r="I40" s="719">
        <f t="shared" si="2">ROUNDUP(F40*H40,0)</f>
        <v>0</v>
      </c>
      <c r="J40" s="716">
        <f t="shared" si="3">ROUNDUP(G40*H40,0)</f>
        <v>0</v>
      </c>
    </row>
    <row r="41" spans="1:10">
      <c r="A41" s="525"/>
      <c r="B41" s="1687"/>
      <c r="C41" s="1688"/>
      <c r="D41" s="1688"/>
      <c r="E41" s="1688"/>
      <c r="F41" s="341"/>
      <c r="G41" s="341"/>
      <c r="H41" s="359"/>
      <c r="I41" s="719">
        <f t="shared" si="2">ROUNDUP(F41*H41,0)</f>
        <v>0</v>
      </c>
      <c r="J41" s="716">
        <f t="shared" si="3">ROUNDUP(G41*H41,0)</f>
        <v>0</v>
      </c>
    </row>
    <row r="42" spans="1:10">
      <c r="A42" s="525"/>
      <c r="B42" s="1687"/>
      <c r="C42" s="1688"/>
      <c r="D42" s="1688"/>
      <c r="E42" s="1688"/>
      <c r="F42" s="341"/>
      <c r="G42" s="341"/>
      <c r="H42" s="359"/>
      <c r="I42" s="719">
        <f t="shared" si="2">ROUNDUP(F42*H42,0)</f>
        <v>0</v>
      </c>
      <c r="J42" s="716">
        <f t="shared" si="3">ROUNDUP(G42*H42,0)</f>
        <v>0</v>
      </c>
    </row>
    <row r="43" spans="1:10">
      <c r="A43" s="525"/>
      <c r="B43" s="1687"/>
      <c r="C43" s="1688"/>
      <c r="D43" s="1688"/>
      <c r="E43" s="1688"/>
      <c r="F43" s="341"/>
      <c r="G43" s="341"/>
      <c r="H43" s="359"/>
      <c r="I43" s="719">
        <f t="shared" si="2">ROUNDUP(F43*H43,0)</f>
        <v>0</v>
      </c>
      <c r="J43" s="716">
        <f t="shared" si="3">ROUNDUP(G43*H43,0)</f>
        <v>0</v>
      </c>
    </row>
    <row r="44" spans="1:10">
      <c r="A44" s="525"/>
      <c r="B44" s="1687"/>
      <c r="C44" s="1688"/>
      <c r="D44" s="1688"/>
      <c r="E44" s="1688"/>
      <c r="F44" s="341"/>
      <c r="G44" s="341"/>
      <c r="H44" s="359"/>
      <c r="I44" s="719">
        <f t="shared" si="2">ROUNDUP(F44*H44,0)</f>
        <v>0</v>
      </c>
      <c r="J44" s="716">
        <f t="shared" si="3">ROUNDUP(G44*H44,0)</f>
        <v>0</v>
      </c>
    </row>
    <row r="45" spans="1:10" customHeight="1" thickBot="1">
      <c r="A45" s="525"/>
      <c r="B45" s="1718"/>
      <c r="C45" s="1719"/>
      <c r="D45" s="532"/>
      <c r="E45" s="1707"/>
      <c r="F45" s="532"/>
      <c r="G45" s="532"/>
      <c r="H45" s="533"/>
      <c r="I45" s="550"/>
      <c r="J45" s="534"/>
    </row>
    <row r="46" spans="1:10" ht="15.75" customHeight="1" thickTop="1" thickBot="1">
      <c r="A46" s="525"/>
      <c r="B46" s="535"/>
      <c r="C46" s="535"/>
      <c r="D46" s="535"/>
      <c r="E46" s="535"/>
      <c r="F46" s="535"/>
      <c r="G46" s="535"/>
      <c r="H46" s="536"/>
      <c r="I46" s="537"/>
      <c r="J46" s="537"/>
    </row>
    <row r="47" spans="1:12" s="348" customFormat="1" ht="24" customHeight="1" thickTop="1" thickBot="1">
      <c r="A47" s="538"/>
      <c r="B47" s="552"/>
      <c r="C47" s="1693"/>
      <c r="D47" s="1693"/>
      <c r="E47" s="539" t="s">
        <v>234</v>
      </c>
      <c r="F47" s="350">
        <f>SUM(F30:F45)</f>
        <v>0</v>
      </c>
      <c r="G47" s="350">
        <f>SUM(G30:G45)</f>
        <v>0</v>
      </c>
      <c r="H47" s="540"/>
      <c r="I47" s="350">
        <f>SUM(I30:I45)</f>
        <v>0</v>
      </c>
      <c r="J47" s="350">
        <f>SUM(J30:J45)</f>
        <v>0</v>
      </c>
      <c r="K47" s="345"/>
      <c r="L47" s="345"/>
    </row>
    <row r="48" spans="1:10" customHeight="1" thickTop="1">
      <c r="A48" s="525"/>
      <c r="B48" s="535"/>
      <c r="C48" s="535"/>
      <c r="D48" s="535"/>
      <c r="E48" s="535"/>
      <c r="F48" s="535"/>
      <c r="G48" s="535"/>
      <c r="H48" s="536"/>
      <c r="I48" s="536"/>
      <c r="J48" s="536"/>
    </row>
    <row r="49" spans="1:10" s="321" customFormat="1" ht="17.25" customHeight="1">
      <c r="A49" s="521" t="s">
        <v>388</v>
      </c>
      <c r="B49" s="522" t="s">
        <v>487</v>
      </c>
      <c r="C49" s="522"/>
      <c r="D49" s="522"/>
      <c r="E49" s="522"/>
      <c r="F49" s="522"/>
      <c r="G49" s="522"/>
      <c r="H49" s="523"/>
      <c r="I49" s="523"/>
      <c r="J49" s="523"/>
    </row>
    <row r="50" spans="1:10" customHeight="1" thickBot="1">
      <c r="A50" s="525"/>
      <c r="B50" s="525"/>
      <c r="C50" s="525"/>
      <c r="D50" s="525"/>
      <c r="E50" s="525"/>
      <c r="F50" s="525"/>
      <c r="G50" s="525"/>
      <c r="H50" s="525"/>
      <c r="I50" s="525"/>
      <c r="J50" s="525"/>
    </row>
    <row r="51" spans="1:10" customHeight="1" thickTop="1">
      <c r="A51" s="525"/>
      <c r="B51" s="1694" t="s">
        <v>512</v>
      </c>
      <c r="C51" s="1695"/>
      <c r="D51" s="1695" t="s">
        <v>997</v>
      </c>
      <c r="E51" s="1695"/>
      <c r="F51" s="1721" t="s">
        <v>486</v>
      </c>
      <c r="G51" s="1721"/>
      <c r="H51" s="1695" t="s">
        <v>475</v>
      </c>
      <c r="I51" s="1721" t="s">
        <v>996</v>
      </c>
      <c r="J51" s="1722"/>
    </row>
    <row r="52" spans="1:10" customHeight="1" thickBot="1">
      <c r="A52" s="525"/>
      <c r="B52" s="1696"/>
      <c r="C52" s="1697"/>
      <c r="D52" s="1697"/>
      <c r="E52" s="1697"/>
      <c r="F52" s="713" t="s">
        <v>994</v>
      </c>
      <c r="G52" s="713" t="s">
        <v>995</v>
      </c>
      <c r="H52" s="1697"/>
      <c r="I52" s="713" t="s">
        <v>994</v>
      </c>
      <c r="J52" s="714" t="s">
        <v>995</v>
      </c>
    </row>
    <row r="53" spans="1:10" customHeight="1" thickTop="1">
      <c r="A53" s="525"/>
      <c r="B53" s="1701"/>
      <c r="C53" s="1702"/>
      <c r="D53" s="527"/>
      <c r="E53" s="527"/>
      <c r="F53" s="527"/>
      <c r="G53" s="527"/>
      <c r="H53" s="528"/>
      <c r="I53" s="720"/>
      <c r="J53" s="529"/>
    </row>
    <row r="54" spans="1:10">
      <c r="A54" s="525"/>
      <c r="B54" s="1700"/>
      <c r="C54" s="1699"/>
      <c r="D54" s="1698"/>
      <c r="E54" s="1699"/>
      <c r="F54" s="341"/>
      <c r="G54" s="341"/>
      <c r="H54" s="359"/>
      <c r="I54" s="719">
        <f t="shared" si="4" ref="I54:I67">ROUNDUP(F54*H54,0)</f>
        <v>0</v>
      </c>
      <c r="J54" s="716">
        <f>ROUNDUP(G54*H54,0)</f>
        <v>0</v>
      </c>
    </row>
    <row r="55" spans="1:10">
      <c r="A55" s="525"/>
      <c r="B55" s="1687"/>
      <c r="C55" s="1688"/>
      <c r="D55" s="1688"/>
      <c r="E55" s="1688"/>
      <c r="F55" s="341"/>
      <c r="G55" s="341"/>
      <c r="H55" s="359"/>
      <c r="I55" s="719">
        <f t="shared" si="4">ROUNDUP(F55*H55,0)</f>
        <v>0</v>
      </c>
      <c r="J55" s="716">
        <f t="shared" si="5" ref="J55:J67">ROUNDUP(G55*H55,0)</f>
        <v>0</v>
      </c>
    </row>
    <row r="56" spans="1:10">
      <c r="A56" s="525"/>
      <c r="B56" s="1687"/>
      <c r="C56" s="1688"/>
      <c r="D56" s="1688"/>
      <c r="E56" s="1688"/>
      <c r="F56" s="341"/>
      <c r="G56" s="341"/>
      <c r="H56" s="359"/>
      <c r="I56" s="719">
        <f t="shared" si="4">ROUNDUP(F56*H56,0)</f>
        <v>0</v>
      </c>
      <c r="J56" s="716">
        <f t="shared" si="5">ROUNDUP(G56*H56,0)</f>
        <v>0</v>
      </c>
    </row>
    <row r="57" spans="1:10">
      <c r="A57" s="525"/>
      <c r="B57" s="1687"/>
      <c r="C57" s="1688"/>
      <c r="D57" s="1688"/>
      <c r="E57" s="1688"/>
      <c r="F57" s="341"/>
      <c r="G57" s="341"/>
      <c r="H57" s="359"/>
      <c r="I57" s="719">
        <f t="shared" si="4">ROUNDUP(F57*H57,0)</f>
        <v>0</v>
      </c>
      <c r="J57" s="716">
        <f t="shared" si="5">ROUNDUP(G57*H57,0)</f>
        <v>0</v>
      </c>
    </row>
    <row r="58" spans="1:10">
      <c r="A58" s="525"/>
      <c r="B58" s="1687"/>
      <c r="C58" s="1688"/>
      <c r="D58" s="1688"/>
      <c r="E58" s="1688"/>
      <c r="F58" s="341"/>
      <c r="G58" s="341"/>
      <c r="H58" s="359"/>
      <c r="I58" s="719">
        <f t="shared" si="4">ROUNDUP(F58*H58,0)</f>
        <v>0</v>
      </c>
      <c r="J58" s="716">
        <f t="shared" si="5">ROUNDUP(G58*H58,0)</f>
        <v>0</v>
      </c>
    </row>
    <row r="59" spans="1:10">
      <c r="A59" s="525"/>
      <c r="B59" s="1687"/>
      <c r="C59" s="1688"/>
      <c r="D59" s="1688"/>
      <c r="E59" s="1688"/>
      <c r="F59" s="341"/>
      <c r="G59" s="341"/>
      <c r="H59" s="359"/>
      <c r="I59" s="719">
        <f t="shared" si="4">ROUNDUP(F59*H59,0)</f>
        <v>0</v>
      </c>
      <c r="J59" s="716">
        <f t="shared" si="5">ROUNDUP(G59*H59,0)</f>
        <v>0</v>
      </c>
    </row>
    <row r="60" spans="1:10">
      <c r="A60" s="525"/>
      <c r="B60" s="1687"/>
      <c r="C60" s="1688"/>
      <c r="D60" s="1688"/>
      <c r="E60" s="1688"/>
      <c r="F60" s="341"/>
      <c r="G60" s="341"/>
      <c r="H60" s="359"/>
      <c r="I60" s="719">
        <f t="shared" si="4">ROUNDUP(F60*H60,0)</f>
        <v>0</v>
      </c>
      <c r="J60" s="716">
        <f t="shared" si="5">ROUNDUP(G60*H60,0)</f>
        <v>0</v>
      </c>
    </row>
    <row r="61" spans="1:10">
      <c r="A61" s="525"/>
      <c r="B61" s="1687"/>
      <c r="C61" s="1688"/>
      <c r="D61" s="1688"/>
      <c r="E61" s="1688"/>
      <c r="F61" s="341"/>
      <c r="G61" s="341"/>
      <c r="H61" s="359"/>
      <c r="I61" s="719">
        <f t="shared" si="4">ROUNDUP(F61*H61,0)</f>
        <v>0</v>
      </c>
      <c r="J61" s="716">
        <f t="shared" si="5">ROUNDUP(G61*H61,0)</f>
        <v>0</v>
      </c>
    </row>
    <row r="62" spans="1:10">
      <c r="A62" s="525"/>
      <c r="B62" s="1687"/>
      <c r="C62" s="1688"/>
      <c r="D62" s="1688"/>
      <c r="E62" s="1688"/>
      <c r="F62" s="341"/>
      <c r="G62" s="341"/>
      <c r="H62" s="359"/>
      <c r="I62" s="719">
        <f t="shared" si="4">ROUNDUP(F62*H62,0)</f>
        <v>0</v>
      </c>
      <c r="J62" s="716">
        <f t="shared" si="5">ROUNDUP(G62*H62,0)</f>
        <v>0</v>
      </c>
    </row>
    <row r="63" spans="1:10">
      <c r="A63" s="525"/>
      <c r="B63" s="1687"/>
      <c r="C63" s="1688"/>
      <c r="D63" s="1688"/>
      <c r="E63" s="1688"/>
      <c r="F63" s="341"/>
      <c r="G63" s="341"/>
      <c r="H63" s="359"/>
      <c r="I63" s="719">
        <f t="shared" si="4">ROUNDUP(F63*H63,0)</f>
        <v>0</v>
      </c>
      <c r="J63" s="716">
        <f t="shared" si="5">ROUNDUP(G63*H63,0)</f>
        <v>0</v>
      </c>
    </row>
    <row r="64" spans="1:10">
      <c r="A64" s="525"/>
      <c r="B64" s="1687"/>
      <c r="C64" s="1688"/>
      <c r="D64" s="1688"/>
      <c r="E64" s="1688"/>
      <c r="F64" s="341"/>
      <c r="G64" s="341"/>
      <c r="H64" s="359"/>
      <c r="I64" s="719">
        <f t="shared" si="4">ROUNDUP(F64*H64,0)</f>
        <v>0</v>
      </c>
      <c r="J64" s="716">
        <f t="shared" si="5">ROUNDUP(G64*H64,0)</f>
        <v>0</v>
      </c>
    </row>
    <row r="65" spans="1:10">
      <c r="A65" s="525"/>
      <c r="B65" s="1687"/>
      <c r="C65" s="1688"/>
      <c r="D65" s="1688"/>
      <c r="E65" s="1688"/>
      <c r="F65" s="341"/>
      <c r="G65" s="341"/>
      <c r="H65" s="359"/>
      <c r="I65" s="719">
        <f t="shared" si="4">ROUNDUP(F65*H65,0)</f>
        <v>0</v>
      </c>
      <c r="J65" s="716">
        <f t="shared" si="5">ROUNDUP(G65*H65,0)</f>
        <v>0</v>
      </c>
    </row>
    <row r="66" spans="1:10">
      <c r="A66" s="525"/>
      <c r="B66" s="1687"/>
      <c r="C66" s="1688"/>
      <c r="D66" s="1688"/>
      <c r="E66" s="1688"/>
      <c r="F66" s="341"/>
      <c r="G66" s="341"/>
      <c r="H66" s="359"/>
      <c r="I66" s="719">
        <f t="shared" si="4">ROUNDUP(F66*H66,0)</f>
        <v>0</v>
      </c>
      <c r="J66" s="716">
        <f t="shared" si="5">ROUNDUP(G66*H66,0)</f>
        <v>0</v>
      </c>
    </row>
    <row r="67" spans="1:10">
      <c r="A67" s="525"/>
      <c r="B67" s="1687"/>
      <c r="C67" s="1688"/>
      <c r="D67" s="1688"/>
      <c r="E67" s="1688"/>
      <c r="F67" s="341"/>
      <c r="G67" s="341"/>
      <c r="H67" s="359"/>
      <c r="I67" s="719">
        <f t="shared" si="4">ROUNDUP(F67*H67,0)</f>
        <v>0</v>
      </c>
      <c r="J67" s="716">
        <f t="shared" si="5">ROUNDUP(G67*H67,0)</f>
        <v>0</v>
      </c>
    </row>
    <row r="68" spans="1:10" customHeight="1" thickBot="1">
      <c r="A68" s="525"/>
      <c r="B68" s="1718"/>
      <c r="C68" s="1719"/>
      <c r="D68" s="532"/>
      <c r="E68" s="1707"/>
      <c r="F68" s="532"/>
      <c r="G68" s="532"/>
      <c r="H68" s="533"/>
      <c r="I68" s="550"/>
      <c r="J68" s="534"/>
    </row>
    <row r="69" spans="1:10" ht="15.75" customHeight="1" thickTop="1" thickBot="1">
      <c r="A69" s="525"/>
      <c r="B69" s="535"/>
      <c r="C69" s="535"/>
      <c r="D69" s="535"/>
      <c r="E69" s="535"/>
      <c r="F69" s="535"/>
      <c r="G69" s="535"/>
      <c r="H69" s="536"/>
      <c r="I69" s="537"/>
      <c r="J69" s="537"/>
    </row>
    <row r="70" spans="1:12" s="348" customFormat="1" ht="24" customHeight="1" thickTop="1" thickBot="1">
      <c r="A70" s="538"/>
      <c r="B70" s="552"/>
      <c r="C70" s="1693"/>
      <c r="D70" s="1693"/>
      <c r="E70" s="539" t="s">
        <v>234</v>
      </c>
      <c r="F70" s="350">
        <f>SUM(F53:F68)</f>
        <v>0</v>
      </c>
      <c r="G70" s="350">
        <f>SUM(G53:G68)</f>
        <v>0</v>
      </c>
      <c r="H70" s="540"/>
      <c r="I70" s="350">
        <f>SUM(I53:I68)</f>
        <v>0</v>
      </c>
      <c r="J70" s="350">
        <f>SUM(J53:J68)</f>
        <v>0</v>
      </c>
      <c r="K70" s="345"/>
      <c r="L70" s="345"/>
    </row>
    <row r="71" spans="1:10" customHeight="1" thickTop="1">
      <c r="A71" s="525"/>
      <c r="B71" s="535"/>
      <c r="C71" s="535"/>
      <c r="D71" s="535"/>
      <c r="E71" s="535"/>
      <c r="F71" s="535"/>
      <c r="G71" s="535"/>
      <c r="H71" s="536"/>
      <c r="I71" s="537"/>
      <c r="J71" s="537"/>
    </row>
    <row r="72" spans="1:10" s="321" customFormat="1" ht="17.25" customHeight="1">
      <c r="A72" s="521" t="s">
        <v>389</v>
      </c>
      <c r="B72" s="522" t="s">
        <v>487</v>
      </c>
      <c r="C72" s="522"/>
      <c r="D72" s="522"/>
      <c r="E72" s="522"/>
      <c r="F72" s="522"/>
      <c r="G72" s="522"/>
      <c r="H72" s="523"/>
      <c r="I72" s="523"/>
      <c r="J72" s="523"/>
    </row>
    <row r="73" spans="1:10" customHeight="1" thickBot="1">
      <c r="A73" s="525"/>
      <c r="B73" s="525"/>
      <c r="C73" s="525"/>
      <c r="D73" s="525"/>
      <c r="E73" s="525"/>
      <c r="F73" s="525"/>
      <c r="G73" s="525"/>
      <c r="H73" s="525"/>
      <c r="I73" s="541"/>
      <c r="J73" s="541"/>
    </row>
    <row r="74" spans="1:10" customHeight="1" thickTop="1">
      <c r="A74" s="525"/>
      <c r="B74" s="1694" t="s">
        <v>512</v>
      </c>
      <c r="C74" s="1695"/>
      <c r="D74" s="1695" t="s">
        <v>997</v>
      </c>
      <c r="E74" s="1695"/>
      <c r="F74" s="1721" t="s">
        <v>486</v>
      </c>
      <c r="G74" s="1721"/>
      <c r="H74" s="1695" t="s">
        <v>475</v>
      </c>
      <c r="I74" s="1721" t="s">
        <v>996</v>
      </c>
      <c r="J74" s="1722"/>
    </row>
    <row r="75" spans="1:10" customHeight="1" thickBot="1">
      <c r="A75" s="525"/>
      <c r="B75" s="1696"/>
      <c r="C75" s="1697"/>
      <c r="D75" s="1697"/>
      <c r="E75" s="1697"/>
      <c r="F75" s="713" t="s">
        <v>994</v>
      </c>
      <c r="G75" s="713" t="s">
        <v>995</v>
      </c>
      <c r="H75" s="1697"/>
      <c r="I75" s="713" t="s">
        <v>994</v>
      </c>
      <c r="J75" s="714" t="s">
        <v>995</v>
      </c>
    </row>
    <row r="76" spans="1:10" customHeight="1" thickTop="1">
      <c r="A76" s="525"/>
      <c r="B76" s="1701"/>
      <c r="C76" s="1702"/>
      <c r="D76" s="527"/>
      <c r="E76" s="527"/>
      <c r="F76" s="527"/>
      <c r="G76" s="527"/>
      <c r="H76" s="528"/>
      <c r="I76" s="720"/>
      <c r="J76" s="529"/>
    </row>
    <row r="77" spans="1:10">
      <c r="A77" s="525"/>
      <c r="B77" s="1687"/>
      <c r="C77" s="1688"/>
      <c r="D77" s="1688"/>
      <c r="E77" s="1688"/>
      <c r="F77" s="341"/>
      <c r="G77" s="341"/>
      <c r="H77" s="359"/>
      <c r="I77" s="719">
        <f t="shared" si="6" ref="I77:I90">ROUNDUP(F77*H77,0)</f>
        <v>0</v>
      </c>
      <c r="J77" s="716">
        <f>ROUNDUP(G77*H77,0)</f>
        <v>0</v>
      </c>
    </row>
    <row r="78" spans="1:10">
      <c r="A78" s="525"/>
      <c r="B78" s="1687"/>
      <c r="C78" s="1688"/>
      <c r="D78" s="1688"/>
      <c r="E78" s="1688"/>
      <c r="F78" s="341"/>
      <c r="G78" s="341"/>
      <c r="H78" s="359"/>
      <c r="I78" s="719">
        <f t="shared" si="6">ROUNDUP(F78*H78,0)</f>
        <v>0</v>
      </c>
      <c r="J78" s="716">
        <f t="shared" si="7" ref="J78:J90">ROUNDUP(G78*H78,0)</f>
        <v>0</v>
      </c>
    </row>
    <row r="79" spans="1:10">
      <c r="A79" s="525"/>
      <c r="B79" s="1687"/>
      <c r="C79" s="1688"/>
      <c r="D79" s="1688"/>
      <c r="E79" s="1688"/>
      <c r="F79" s="341"/>
      <c r="G79" s="341"/>
      <c r="H79" s="359"/>
      <c r="I79" s="719">
        <f t="shared" si="6">ROUNDUP(F79*H79,0)</f>
        <v>0</v>
      </c>
      <c r="J79" s="716">
        <f t="shared" si="7">ROUNDUP(G79*H79,0)</f>
        <v>0</v>
      </c>
    </row>
    <row r="80" spans="1:10">
      <c r="A80" s="525"/>
      <c r="B80" s="1687"/>
      <c r="C80" s="1688"/>
      <c r="D80" s="1688"/>
      <c r="E80" s="1688"/>
      <c r="F80" s="341"/>
      <c r="G80" s="341"/>
      <c r="H80" s="359"/>
      <c r="I80" s="719">
        <f t="shared" si="6">ROUNDUP(F80*H80,0)</f>
        <v>0</v>
      </c>
      <c r="J80" s="716">
        <f t="shared" si="7">ROUNDUP(G80*H80,0)</f>
        <v>0</v>
      </c>
    </row>
    <row r="81" spans="1:10">
      <c r="A81" s="525"/>
      <c r="B81" s="1687"/>
      <c r="C81" s="1688"/>
      <c r="D81" s="1688"/>
      <c r="E81" s="1688"/>
      <c r="F81" s="341"/>
      <c r="G81" s="341"/>
      <c r="H81" s="359"/>
      <c r="I81" s="719">
        <f t="shared" si="6">ROUNDUP(F81*H81,0)</f>
        <v>0</v>
      </c>
      <c r="J81" s="716">
        <f t="shared" si="7">ROUNDUP(G81*H81,0)</f>
        <v>0</v>
      </c>
    </row>
    <row r="82" spans="1:10">
      <c r="A82" s="525"/>
      <c r="B82" s="1687"/>
      <c r="C82" s="1688"/>
      <c r="D82" s="1688"/>
      <c r="E82" s="1688"/>
      <c r="F82" s="341"/>
      <c r="G82" s="341"/>
      <c r="H82" s="359"/>
      <c r="I82" s="719">
        <f t="shared" si="6">ROUNDUP(F82*H82,0)</f>
        <v>0</v>
      </c>
      <c r="J82" s="716">
        <f t="shared" si="7">ROUNDUP(G82*H82,0)</f>
        <v>0</v>
      </c>
    </row>
    <row r="83" spans="1:10">
      <c r="A83" s="525"/>
      <c r="B83" s="1687"/>
      <c r="C83" s="1688"/>
      <c r="D83" s="1688"/>
      <c r="E83" s="1688"/>
      <c r="F83" s="341"/>
      <c r="G83" s="341"/>
      <c r="H83" s="359"/>
      <c r="I83" s="719">
        <f t="shared" si="6">ROUNDUP(F83*H83,0)</f>
        <v>0</v>
      </c>
      <c r="J83" s="716">
        <f t="shared" si="7">ROUNDUP(G83*H83,0)</f>
        <v>0</v>
      </c>
    </row>
    <row r="84" spans="1:10">
      <c r="A84" s="525"/>
      <c r="B84" s="1687"/>
      <c r="C84" s="1688"/>
      <c r="D84" s="1688"/>
      <c r="E84" s="1688"/>
      <c r="F84" s="341"/>
      <c r="G84" s="341"/>
      <c r="H84" s="359"/>
      <c r="I84" s="719">
        <f t="shared" si="6">ROUNDUP(F84*H84,0)</f>
        <v>0</v>
      </c>
      <c r="J84" s="716">
        <f t="shared" si="7">ROUNDUP(G84*H84,0)</f>
        <v>0</v>
      </c>
    </row>
    <row r="85" spans="1:10">
      <c r="A85" s="525"/>
      <c r="B85" s="1687"/>
      <c r="C85" s="1688"/>
      <c r="D85" s="1688"/>
      <c r="E85" s="1688"/>
      <c r="F85" s="341"/>
      <c r="G85" s="341"/>
      <c r="H85" s="359"/>
      <c r="I85" s="719">
        <f t="shared" si="6">ROUNDUP(F85*H85,0)</f>
        <v>0</v>
      </c>
      <c r="J85" s="716">
        <f t="shared" si="7">ROUNDUP(G85*H85,0)</f>
        <v>0</v>
      </c>
    </row>
    <row r="86" spans="1:10">
      <c r="A86" s="525"/>
      <c r="B86" s="1687"/>
      <c r="C86" s="1688"/>
      <c r="D86" s="1688"/>
      <c r="E86" s="1688"/>
      <c r="F86" s="341"/>
      <c r="G86" s="341"/>
      <c r="H86" s="359"/>
      <c r="I86" s="719">
        <f t="shared" si="6">ROUNDUP(F86*H86,0)</f>
        <v>0</v>
      </c>
      <c r="J86" s="716">
        <f t="shared" si="7">ROUNDUP(G86*H86,0)</f>
        <v>0</v>
      </c>
    </row>
    <row r="87" spans="1:10">
      <c r="A87" s="525"/>
      <c r="B87" s="1687"/>
      <c r="C87" s="1688"/>
      <c r="D87" s="1688"/>
      <c r="E87" s="1688"/>
      <c r="F87" s="341"/>
      <c r="G87" s="341"/>
      <c r="H87" s="359"/>
      <c r="I87" s="719">
        <f t="shared" si="6">ROUNDUP(F87*H87,0)</f>
        <v>0</v>
      </c>
      <c r="J87" s="716">
        <f t="shared" si="7">ROUNDUP(G87*H87,0)</f>
        <v>0</v>
      </c>
    </row>
    <row r="88" spans="1:10">
      <c r="A88" s="525"/>
      <c r="B88" s="1687"/>
      <c r="C88" s="1688"/>
      <c r="D88" s="1688"/>
      <c r="E88" s="1688"/>
      <c r="F88" s="341"/>
      <c r="G88" s="341"/>
      <c r="H88" s="359"/>
      <c r="I88" s="719">
        <f t="shared" si="6">ROUNDUP(F88*H88,0)</f>
        <v>0</v>
      </c>
      <c r="J88" s="716">
        <f t="shared" si="7">ROUNDUP(G88*H88,0)</f>
        <v>0</v>
      </c>
    </row>
    <row r="89" spans="1:10">
      <c r="A89" s="525"/>
      <c r="B89" s="1687"/>
      <c r="C89" s="1688"/>
      <c r="D89" s="1688"/>
      <c r="E89" s="1688"/>
      <c r="F89" s="341"/>
      <c r="G89" s="341"/>
      <c r="H89" s="359"/>
      <c r="I89" s="719">
        <f t="shared" si="6">ROUNDUP(F89*H89,0)</f>
        <v>0</v>
      </c>
      <c r="J89" s="716">
        <f t="shared" si="7">ROUNDUP(G89*H89,0)</f>
        <v>0</v>
      </c>
    </row>
    <row r="90" spans="1:10">
      <c r="A90" s="525"/>
      <c r="B90" s="1687"/>
      <c r="C90" s="1688"/>
      <c r="D90" s="1688"/>
      <c r="E90" s="1688"/>
      <c r="F90" s="341"/>
      <c r="G90" s="341"/>
      <c r="H90" s="359"/>
      <c r="I90" s="719">
        <f t="shared" si="6">ROUNDUP(F90*H90,0)</f>
        <v>0</v>
      </c>
      <c r="J90" s="716">
        <f t="shared" si="7">ROUNDUP(G90*H90,0)</f>
        <v>0</v>
      </c>
    </row>
    <row r="91" spans="1:10" customHeight="1" thickBot="1">
      <c r="A91" s="525"/>
      <c r="B91" s="1718"/>
      <c r="C91" s="1719"/>
      <c r="D91" s="532"/>
      <c r="E91" s="1707"/>
      <c r="F91" s="532"/>
      <c r="G91" s="532"/>
      <c r="H91" s="533"/>
      <c r="I91" s="550"/>
      <c r="J91" s="534"/>
    </row>
    <row r="92" spans="1:10" ht="15.75" customHeight="1" thickTop="1" thickBot="1">
      <c r="A92" s="525"/>
      <c r="B92" s="535"/>
      <c r="C92" s="535"/>
      <c r="D92" s="535"/>
      <c r="E92" s="535"/>
      <c r="F92" s="535"/>
      <c r="G92" s="535"/>
      <c r="H92" s="536"/>
      <c r="I92" s="537"/>
      <c r="J92" s="537"/>
    </row>
    <row r="93" spans="1:12" s="348" customFormat="1" ht="24" customHeight="1" thickTop="1" thickBot="1">
      <c r="A93" s="538"/>
      <c r="B93" s="552"/>
      <c r="C93" s="1693"/>
      <c r="D93" s="1693"/>
      <c r="E93" s="539" t="s">
        <v>234</v>
      </c>
      <c r="F93" s="350">
        <f>SUM(F76:F91)</f>
        <v>0</v>
      </c>
      <c r="G93" s="350">
        <f>SUM(G76:G91)</f>
        <v>0</v>
      </c>
      <c r="H93" s="540"/>
      <c r="I93" s="350">
        <f>SUM(I76:I91)</f>
        <v>0</v>
      </c>
      <c r="J93" s="350">
        <f>SUM(J76:J91)</f>
        <v>0</v>
      </c>
      <c r="K93" s="345"/>
      <c r="L93" s="345"/>
    </row>
    <row r="94" spans="1:10" customHeight="1" thickTop="1">
      <c r="A94" s="525"/>
      <c r="B94" s="535"/>
      <c r="C94" s="535"/>
      <c r="D94" s="535"/>
      <c r="E94" s="535"/>
      <c r="F94" s="535"/>
      <c r="G94" s="535"/>
      <c r="H94" s="536"/>
      <c r="I94" s="536"/>
      <c r="J94" s="536"/>
    </row>
    <row r="95" spans="1:10" s="321" customFormat="1" ht="17.25" customHeight="1">
      <c r="A95" s="521" t="s">
        <v>390</v>
      </c>
      <c r="B95" s="522" t="s">
        <v>488</v>
      </c>
      <c r="C95" s="522"/>
      <c r="D95" s="522"/>
      <c r="E95" s="522"/>
      <c r="F95" s="522"/>
      <c r="G95" s="522"/>
      <c r="H95" s="523"/>
      <c r="I95" s="523"/>
      <c r="J95" s="523"/>
    </row>
    <row r="96" spans="1:10" customHeight="1" thickBot="1">
      <c r="A96" s="525"/>
      <c r="B96" s="525"/>
      <c r="C96" s="525"/>
      <c r="D96" s="525"/>
      <c r="E96" s="525"/>
      <c r="F96" s="525"/>
      <c r="G96" s="525"/>
      <c r="H96" s="525"/>
      <c r="I96" s="525"/>
      <c r="J96" s="525"/>
    </row>
    <row r="97" spans="1:10" customHeight="1" thickTop="1">
      <c r="A97" s="525"/>
      <c r="B97" s="1694" t="s">
        <v>512</v>
      </c>
      <c r="C97" s="1695"/>
      <c r="D97" s="1695" t="s">
        <v>997</v>
      </c>
      <c r="E97" s="1695"/>
      <c r="F97" s="1721" t="s">
        <v>486</v>
      </c>
      <c r="G97" s="1721"/>
      <c r="H97" s="1695" t="s">
        <v>475</v>
      </c>
      <c r="I97" s="1721" t="s">
        <v>996</v>
      </c>
      <c r="J97" s="1722"/>
    </row>
    <row r="98" spans="1:10" customHeight="1" thickBot="1">
      <c r="A98" s="525"/>
      <c r="B98" s="1696"/>
      <c r="C98" s="1697"/>
      <c r="D98" s="1697"/>
      <c r="E98" s="1697"/>
      <c r="F98" s="713" t="s">
        <v>994</v>
      </c>
      <c r="G98" s="713" t="s">
        <v>995</v>
      </c>
      <c r="H98" s="1697"/>
      <c r="I98" s="713" t="s">
        <v>994</v>
      </c>
      <c r="J98" s="714" t="s">
        <v>995</v>
      </c>
    </row>
    <row r="99" spans="1:10" customHeight="1" thickTop="1">
      <c r="A99" s="525"/>
      <c r="B99" s="1701"/>
      <c r="C99" s="1702"/>
      <c r="D99" s="527"/>
      <c r="E99" s="527"/>
      <c r="F99" s="527"/>
      <c r="G99" s="527"/>
      <c r="H99" s="528"/>
      <c r="I99" s="720"/>
      <c r="J99" s="529"/>
    </row>
    <row r="100" spans="1:10">
      <c r="A100" s="525"/>
      <c r="B100" s="1700"/>
      <c r="C100" s="1699"/>
      <c r="D100" s="1698"/>
      <c r="E100" s="1699"/>
      <c r="F100" s="341"/>
      <c r="G100" s="341"/>
      <c r="H100" s="359"/>
      <c r="I100" s="719">
        <f t="shared" si="8" ref="I100:I105">ROUNDUP(F100*H100,0)</f>
        <v>0</v>
      </c>
      <c r="J100" s="716">
        <f t="shared" si="9" ref="J100:J105">ROUNDUP(G100*H100,0)</f>
        <v>0</v>
      </c>
    </row>
    <row r="101" spans="1:10">
      <c r="A101" s="525"/>
      <c r="B101" s="1687"/>
      <c r="C101" s="1688"/>
      <c r="D101" s="1688"/>
      <c r="E101" s="1688"/>
      <c r="F101" s="341"/>
      <c r="G101" s="341"/>
      <c r="H101" s="359"/>
      <c r="I101" s="719">
        <f t="shared" si="8">ROUNDUP(F101*H101,0)</f>
        <v>0</v>
      </c>
      <c r="J101" s="716">
        <f t="shared" si="9">ROUNDUP(G101*H101,0)</f>
        <v>0</v>
      </c>
    </row>
    <row r="102" spans="1:10">
      <c r="A102" s="525"/>
      <c r="B102" s="1687"/>
      <c r="C102" s="1688"/>
      <c r="D102" s="1688"/>
      <c r="E102" s="1688"/>
      <c r="F102" s="341"/>
      <c r="G102" s="341"/>
      <c r="H102" s="359"/>
      <c r="I102" s="719">
        <f t="shared" si="8">ROUNDUP(F102*H102,0)</f>
        <v>0</v>
      </c>
      <c r="J102" s="716">
        <f t="shared" si="9">ROUNDUP(G102*H102,0)</f>
        <v>0</v>
      </c>
    </row>
    <row r="103" spans="1:10">
      <c r="A103" s="525"/>
      <c r="B103" s="1687"/>
      <c r="C103" s="1688"/>
      <c r="D103" s="1688"/>
      <c r="E103" s="1688"/>
      <c r="F103" s="341"/>
      <c r="G103" s="341"/>
      <c r="H103" s="359"/>
      <c r="I103" s="719">
        <f t="shared" si="8">ROUNDUP(F103*H103,0)</f>
        <v>0</v>
      </c>
      <c r="J103" s="716">
        <f t="shared" si="9">ROUNDUP(G103*H103,0)</f>
        <v>0</v>
      </c>
    </row>
    <row r="104" spans="1:10">
      <c r="A104" s="525"/>
      <c r="B104" s="1687"/>
      <c r="C104" s="1688"/>
      <c r="D104" s="1688"/>
      <c r="E104" s="1688"/>
      <c r="F104" s="341"/>
      <c r="G104" s="341"/>
      <c r="H104" s="359"/>
      <c r="I104" s="719">
        <f t="shared" si="8">ROUNDUP(F104*H104,0)</f>
        <v>0</v>
      </c>
      <c r="J104" s="716">
        <f t="shared" si="9">ROUNDUP(G104*H104,0)</f>
        <v>0</v>
      </c>
    </row>
    <row r="105" spans="1:10">
      <c r="A105" s="525"/>
      <c r="B105" s="1687"/>
      <c r="C105" s="1688"/>
      <c r="D105" s="1688"/>
      <c r="E105" s="1688"/>
      <c r="F105" s="341"/>
      <c r="G105" s="341"/>
      <c r="H105" s="359"/>
      <c r="I105" s="719">
        <f t="shared" si="8">ROUNDUP(F105*H105,0)</f>
        <v>0</v>
      </c>
      <c r="J105" s="716">
        <f t="shared" si="9">ROUNDUP(G105*H105,0)</f>
        <v>0</v>
      </c>
    </row>
    <row r="106" spans="1:10" customHeight="1" thickBot="1">
      <c r="A106" s="525"/>
      <c r="B106" s="1718"/>
      <c r="C106" s="1719"/>
      <c r="D106" s="532"/>
      <c r="E106" s="1707"/>
      <c r="F106" s="532"/>
      <c r="G106" s="532"/>
      <c r="H106" s="533"/>
      <c r="I106" s="533"/>
      <c r="J106" s="542"/>
    </row>
    <row r="107" spans="1:10" ht="15.75" customHeight="1" thickTop="1" thickBot="1">
      <c r="A107" s="525"/>
      <c r="B107" s="535"/>
      <c r="C107" s="535"/>
      <c r="D107" s="535"/>
      <c r="E107" s="535"/>
      <c r="F107" s="535"/>
      <c r="G107" s="535"/>
      <c r="H107" s="536"/>
      <c r="I107" s="536"/>
      <c r="J107" s="536"/>
    </row>
    <row r="108" spans="1:12" s="348" customFormat="1" ht="24" customHeight="1" thickTop="1" thickBot="1">
      <c r="A108" s="538"/>
      <c r="B108" s="552"/>
      <c r="C108" s="1693"/>
      <c r="D108" s="1693"/>
      <c r="E108" s="539" t="s">
        <v>234</v>
      </c>
      <c r="F108" s="350">
        <f>+SUM(F99:F106)</f>
        <v>0</v>
      </c>
      <c r="G108" s="350">
        <f>+SUM(G99:G106)</f>
        <v>0</v>
      </c>
      <c r="H108" s="540"/>
      <c r="I108" s="350">
        <f>+SUM(I99:I106)</f>
        <v>0</v>
      </c>
      <c r="J108" s="350">
        <f>+SUM(J99:J106)</f>
        <v>0</v>
      </c>
      <c r="K108" s="345"/>
      <c r="L108" s="345"/>
    </row>
    <row r="109" spans="1:10" customHeight="1" thickTop="1">
      <c r="A109" s="525"/>
      <c r="B109" s="535"/>
      <c r="C109" s="535"/>
      <c r="D109" s="535"/>
      <c r="E109" s="535"/>
      <c r="F109" s="535"/>
      <c r="G109" s="535"/>
      <c r="H109" s="536"/>
      <c r="I109" s="536"/>
      <c r="J109" s="536"/>
    </row>
    <row r="110" spans="1:10" s="321" customFormat="1" ht="17.25" customHeight="1">
      <c r="A110" s="521" t="s">
        <v>391</v>
      </c>
      <c r="B110" s="522" t="s">
        <v>485</v>
      </c>
      <c r="C110" s="522"/>
      <c r="D110" s="522"/>
      <c r="E110" s="522"/>
      <c r="F110" s="522"/>
      <c r="G110" s="523"/>
      <c r="H110" s="523"/>
      <c r="I110" s="523"/>
      <c r="J110" s="523"/>
    </row>
    <row r="111" spans="1:10">
      <c r="A111" s="525"/>
      <c r="B111" s="525"/>
      <c r="C111" s="525"/>
      <c r="D111" s="525"/>
      <c r="E111" s="525"/>
      <c r="F111" s="525"/>
      <c r="G111" s="525"/>
      <c r="H111" s="525"/>
      <c r="I111" s="525"/>
      <c r="J111" s="525"/>
    </row>
    <row r="112" spans="1:10" customHeight="1" thickBot="1">
      <c r="A112" s="525"/>
      <c r="B112" s="525"/>
      <c r="C112" s="525"/>
      <c r="D112" s="525"/>
      <c r="E112" s="525"/>
      <c r="F112" s="525"/>
      <c r="G112" s="525"/>
      <c r="H112" s="525"/>
      <c r="I112" s="525"/>
      <c r="J112" s="525"/>
    </row>
    <row r="113" spans="1:12" ht="27" customHeight="1" thickTop="1" thickBot="1">
      <c r="A113" s="525"/>
      <c r="B113" s="543" t="s">
        <v>223</v>
      </c>
      <c r="C113" s="526" t="s">
        <v>489</v>
      </c>
      <c r="D113" s="526" t="s">
        <v>480</v>
      </c>
      <c r="E113" s="1730"/>
      <c r="F113" s="526" t="s">
        <v>486</v>
      </c>
      <c r="G113" s="526" t="s">
        <v>475</v>
      </c>
      <c r="H113" s="721" t="s">
        <v>460</v>
      </c>
      <c r="I113" s="708"/>
      <c r="J113" s="708"/>
      <c r="K113" s="342" t="s">
        <v>482</v>
      </c>
      <c r="L113" s="321" t="e">
        <f>IF(dateofdeparture-taxyear&gt;0,"yes","no")</f>
        <v>#VALUE!</v>
      </c>
    </row>
    <row r="114" spans="1:10" customHeight="1" thickTop="1">
      <c r="A114" s="525"/>
      <c r="B114" s="544"/>
      <c r="C114" s="528"/>
      <c r="D114" s="545"/>
      <c r="E114" s="546"/>
      <c r="F114" s="527"/>
      <c r="G114" s="528"/>
      <c r="H114" s="720"/>
      <c r="I114" s="708"/>
      <c r="J114" s="708"/>
    </row>
    <row r="115" spans="1:10">
      <c r="A115" s="525"/>
      <c r="B115" s="355">
        <v>1</v>
      </c>
      <c r="C115" s="722" t="s">
        <v>462</v>
      </c>
      <c r="D115" s="356" t="s">
        <v>490</v>
      </c>
      <c r="E115" s="357" t="e">
        <f>taxyear-1</f>
        <v>#VALUE!</v>
      </c>
      <c r="F115" s="351"/>
      <c r="G115" s="706">
        <v>1</v>
      </c>
      <c r="H115" s="719">
        <f t="shared" si="10" ref="H115:H129">F115*G115</f>
        <v>0</v>
      </c>
      <c r="I115" s="708"/>
      <c r="J115" s="708"/>
    </row>
    <row r="116" spans="1:10">
      <c r="A116" s="525"/>
      <c r="B116" s="355">
        <v>2</v>
      </c>
      <c r="C116" s="722" t="s">
        <v>462</v>
      </c>
      <c r="D116" s="356" t="s">
        <v>491</v>
      </c>
      <c r="E116" s="357">
        <f>taxyear</f>
        <v>0</v>
      </c>
      <c r="F116" s="351">
        <v>36551283</v>
      </c>
      <c r="G116" s="706">
        <v>1</v>
      </c>
      <c r="H116" s="719">
        <f t="shared" si="10">F116*G116</f>
        <v>0</v>
      </c>
      <c r="I116" s="708"/>
      <c r="J116" s="708"/>
    </row>
    <row r="117" spans="1:10">
      <c r="A117" s="525"/>
      <c r="B117" s="355">
        <v>3</v>
      </c>
      <c r="C117" s="722" t="s">
        <v>462</v>
      </c>
      <c r="D117" s="356" t="s">
        <v>492</v>
      </c>
      <c r="E117" s="357">
        <f>taxyear</f>
        <v>0</v>
      </c>
      <c r="F117" s="351">
        <v>36551283</v>
      </c>
      <c r="G117" s="706">
        <v>1</v>
      </c>
      <c r="H117" s="719">
        <f t="shared" si="10">F117*G117</f>
        <v>0</v>
      </c>
      <c r="I117" s="708"/>
      <c r="J117" s="708"/>
    </row>
    <row r="118" spans="1:10">
      <c r="A118" s="525"/>
      <c r="B118" s="355">
        <v>4</v>
      </c>
      <c r="C118" s="722" t="s">
        <v>501</v>
      </c>
      <c r="D118" s="356"/>
      <c r="E118" s="357" t="e">
        <f>taxyear-1</f>
        <v>#VALUE!</v>
      </c>
      <c r="F118" s="351"/>
      <c r="G118" s="706">
        <v>1</v>
      </c>
      <c r="H118" s="719">
        <f t="shared" si="10">F118*G118</f>
        <v>0</v>
      </c>
      <c r="I118" s="708"/>
      <c r="J118" s="708"/>
    </row>
    <row r="119" spans="1:10">
      <c r="A119" s="525"/>
      <c r="B119" s="355">
        <v>5</v>
      </c>
      <c r="C119" s="722" t="s">
        <v>462</v>
      </c>
      <c r="D119" s="356" t="s">
        <v>493</v>
      </c>
      <c r="E119" s="357">
        <f t="shared" si="11" ref="E119:E129">taxyear</f>
        <v>0</v>
      </c>
      <c r="F119" s="351">
        <v>41789242</v>
      </c>
      <c r="G119" s="706">
        <v>1</v>
      </c>
      <c r="H119" s="719">
        <f t="shared" si="10">F119*G119</f>
        <v>0</v>
      </c>
      <c r="I119" s="708"/>
      <c r="J119" s="708"/>
    </row>
    <row r="120" spans="1:10">
      <c r="A120" s="525"/>
      <c r="B120" s="355">
        <v>6</v>
      </c>
      <c r="C120" s="722" t="s">
        <v>462</v>
      </c>
      <c r="D120" s="356" t="s">
        <v>494</v>
      </c>
      <c r="E120" s="357">
        <f t="shared" si="11">taxyear</f>
        <v>0</v>
      </c>
      <c r="F120" s="351">
        <v>41789242</v>
      </c>
      <c r="G120" s="706">
        <v>1</v>
      </c>
      <c r="H120" s="719">
        <f t="shared" si="10">F120*G120</f>
        <v>0</v>
      </c>
      <c r="I120" s="708"/>
      <c r="J120" s="708"/>
    </row>
    <row r="121" spans="1:10">
      <c r="A121" s="525"/>
      <c r="B121" s="355">
        <v>7</v>
      </c>
      <c r="C121" s="722" t="s">
        <v>462</v>
      </c>
      <c r="D121" s="356" t="s">
        <v>305</v>
      </c>
      <c r="E121" s="357">
        <f t="shared" si="11">taxyear</f>
        <v>0</v>
      </c>
      <c r="F121" s="351">
        <v>41789242</v>
      </c>
      <c r="G121" s="706">
        <v>1</v>
      </c>
      <c r="H121" s="719">
        <f t="shared" si="10">F121*G121</f>
        <v>0</v>
      </c>
      <c r="I121" s="708"/>
      <c r="J121" s="708"/>
    </row>
    <row r="122" spans="1:10">
      <c r="A122" s="525"/>
      <c r="B122" s="355">
        <v>8</v>
      </c>
      <c r="C122" s="722" t="s">
        <v>462</v>
      </c>
      <c r="D122" s="356" t="s">
        <v>495</v>
      </c>
      <c r="E122" s="357">
        <f t="shared" si="11">taxyear</f>
        <v>0</v>
      </c>
      <c r="F122" s="351">
        <v>41789242</v>
      </c>
      <c r="G122" s="706">
        <v>1</v>
      </c>
      <c r="H122" s="719">
        <f t="shared" si="10">F122*G122</f>
        <v>0</v>
      </c>
      <c r="I122" s="708"/>
      <c r="J122" s="708"/>
    </row>
    <row r="123" spans="1:10">
      <c r="A123" s="525"/>
      <c r="B123" s="355">
        <v>9</v>
      </c>
      <c r="C123" s="722" t="s">
        <v>462</v>
      </c>
      <c r="D123" s="356" t="s">
        <v>496</v>
      </c>
      <c r="E123" s="357">
        <f t="shared" si="11">taxyear</f>
        <v>0</v>
      </c>
      <c r="F123" s="351"/>
      <c r="G123" s="706">
        <v>1</v>
      </c>
      <c r="H123" s="719">
        <f t="shared" si="10">F123*G123</f>
        <v>0</v>
      </c>
      <c r="I123" s="708"/>
      <c r="J123" s="708"/>
    </row>
    <row r="124" spans="1:10">
      <c r="A124" s="525"/>
      <c r="B124" s="355">
        <v>10</v>
      </c>
      <c r="C124" s="722" t="s">
        <v>462</v>
      </c>
      <c r="D124" s="356" t="s">
        <v>497</v>
      </c>
      <c r="E124" s="357">
        <f t="shared" si="11">taxyear</f>
        <v>0</v>
      </c>
      <c r="F124" s="351"/>
      <c r="G124" s="706">
        <v>1</v>
      </c>
      <c r="H124" s="719">
        <f t="shared" si="10">F124*G124</f>
        <v>0</v>
      </c>
      <c r="I124" s="708"/>
      <c r="J124" s="708"/>
    </row>
    <row r="125" spans="1:10">
      <c r="A125" s="525"/>
      <c r="B125" s="355">
        <v>11</v>
      </c>
      <c r="C125" s="722" t="s">
        <v>462</v>
      </c>
      <c r="D125" s="356" t="s">
        <v>498</v>
      </c>
      <c r="E125" s="357">
        <f t="shared" si="11">taxyear</f>
        <v>0</v>
      </c>
      <c r="F125" s="351"/>
      <c r="G125" s="706">
        <v>1</v>
      </c>
      <c r="H125" s="719">
        <f t="shared" si="10">F125*G125</f>
        <v>0</v>
      </c>
      <c r="I125" s="708"/>
      <c r="J125" s="708"/>
    </row>
    <row r="126" spans="1:19">
      <c r="A126" s="525"/>
      <c r="B126" s="355">
        <v>12</v>
      </c>
      <c r="C126" s="722" t="s">
        <v>462</v>
      </c>
      <c r="D126" s="356" t="s">
        <v>499</v>
      </c>
      <c r="E126" s="357">
        <f t="shared" si="11">taxyear</f>
        <v>0</v>
      </c>
      <c r="F126" s="351"/>
      <c r="G126" s="706">
        <v>1</v>
      </c>
      <c r="H126" s="719">
        <f t="shared" si="10">F126*G126</f>
        <v>0</v>
      </c>
      <c r="I126" s="708"/>
      <c r="J126" s="708"/>
      <c r="L126" s="803" t="s">
        <v>1077</v>
      </c>
      <c r="M126" s="803" t="s">
        <v>1078</v>
      </c>
      <c r="N126" s="803" t="s">
        <v>1079</v>
      </c>
      <c r="O126" s="803" t="s">
        <v>997</v>
      </c>
      <c r="P126" s="803" t="s">
        <v>486</v>
      </c>
      <c r="Q126" s="803" t="s">
        <v>460</v>
      </c>
      <c r="R126" s="803" t="s">
        <v>1008</v>
      </c>
      <c r="S126" s="803" t="s">
        <v>1009</v>
      </c>
    </row>
    <row r="127" spans="1:19">
      <c r="A127" s="525"/>
      <c r="B127" s="355">
        <v>13</v>
      </c>
      <c r="C127" s="722" t="s">
        <v>462</v>
      </c>
      <c r="D127" s="356" t="s">
        <v>500</v>
      </c>
      <c r="E127" s="357">
        <f t="shared" si="11">taxyear</f>
        <v>0</v>
      </c>
      <c r="F127" s="351"/>
      <c r="G127" s="706">
        <v>1</v>
      </c>
      <c r="H127" s="719">
        <f t="shared" si="10">F127*G127</f>
        <v>0</v>
      </c>
      <c r="I127" s="708"/>
      <c r="J127" s="708"/>
      <c r="L127" s="804" t="s">
        <v>1076</v>
      </c>
      <c r="M127" s="804" t="str">
        <f>B3</f>
        <v>Japan Salary from Certificate of Income (CoI)</v>
      </c>
      <c r="N127" s="804" t="s">
        <v>1086</v>
      </c>
      <c r="O127" s="805">
        <f>D8</f>
        <v>0</v>
      </c>
      <c r="P127" s="806">
        <f>Japsalary1_ori</f>
        <v>0</v>
      </c>
      <c r="Q127" s="806">
        <f>Japsalary1_idr</f>
        <v>0</v>
      </c>
      <c r="R127" s="806">
        <f>G24</f>
        <v>0</v>
      </c>
      <c r="S127" s="806">
        <f>J24</f>
        <v>0</v>
      </c>
    </row>
    <row r="128" spans="1:19">
      <c r="A128" s="525"/>
      <c r="B128" s="355">
        <v>14</v>
      </c>
      <c r="C128" s="722" t="s">
        <v>462</v>
      </c>
      <c r="D128" s="356" t="s">
        <v>490</v>
      </c>
      <c r="E128" s="357">
        <f t="shared" si="11">taxyear</f>
        <v>0</v>
      </c>
      <c r="F128" s="351"/>
      <c r="G128" s="706">
        <v>1</v>
      </c>
      <c r="H128" s="719">
        <f t="shared" si="10">F128*G128</f>
        <v>0</v>
      </c>
      <c r="I128" s="708"/>
      <c r="J128" s="708"/>
      <c r="L128" s="804" t="s">
        <v>1080</v>
      </c>
      <c r="M128" s="804" t="str">
        <f>B26</f>
        <v>Japan Salary from Certificate of Income (CoI)</v>
      </c>
      <c r="N128" s="804" t="s">
        <v>1086</v>
      </c>
      <c r="O128" s="805">
        <f>D31</f>
        <v>0</v>
      </c>
      <c r="P128" s="806">
        <f>Japsalary2_ori</f>
        <v>0</v>
      </c>
      <c r="Q128" s="806">
        <f>Japsalary2_idr</f>
        <v>0</v>
      </c>
      <c r="R128" s="806">
        <f>G47</f>
        <v>0</v>
      </c>
      <c r="S128" s="806">
        <f>J47</f>
        <v>0</v>
      </c>
    </row>
    <row r="129" spans="1:19">
      <c r="A129" s="525"/>
      <c r="B129" s="355">
        <v>15</v>
      </c>
      <c r="C129" s="722" t="s">
        <v>502</v>
      </c>
      <c r="D129" s="356"/>
      <c r="E129" s="358">
        <f t="shared" si="11">taxyear</f>
        <v>0</v>
      </c>
      <c r="F129" s="351"/>
      <c r="G129" s="706">
        <v>1</v>
      </c>
      <c r="H129" s="719">
        <f t="shared" si="10">F129*G129</f>
        <v>0</v>
      </c>
      <c r="I129" s="708"/>
      <c r="J129" s="708"/>
      <c r="L129" s="804" t="s">
        <v>1081</v>
      </c>
      <c r="M129" s="804" t="str">
        <f>B49</f>
        <v>Other payments/allowances from Certificate of Salary</v>
      </c>
      <c r="N129" s="804" t="s">
        <v>1085</v>
      </c>
      <c r="O129" s="805">
        <f>D54</f>
        <v>0</v>
      </c>
      <c r="P129" s="806">
        <f>Japallowance1_ori</f>
        <v>0</v>
      </c>
      <c r="Q129" s="806">
        <f>Japallowance1_idr</f>
        <v>0</v>
      </c>
      <c r="R129" s="806">
        <f>G70</f>
        <v>0</v>
      </c>
      <c r="S129" s="806">
        <f>J70</f>
        <v>0</v>
      </c>
    </row>
    <row r="130" spans="1:19" customHeight="1" thickBot="1">
      <c r="A130" s="525"/>
      <c r="B130" s="547"/>
      <c r="C130" s="533"/>
      <c r="D130" s="548"/>
      <c r="E130" s="549"/>
      <c r="F130" s="532"/>
      <c r="G130" s="550"/>
      <c r="H130" s="550"/>
      <c r="I130" s="537"/>
      <c r="J130" s="537"/>
      <c r="L130" s="804" t="s">
        <v>1082</v>
      </c>
      <c r="M130" s="804" t="str">
        <f>B72</f>
        <v>Other payments/allowances from Certificate of Salary</v>
      </c>
      <c r="N130" s="804" t="s">
        <v>1085</v>
      </c>
      <c r="O130" s="805">
        <f>D77</f>
        <v>0</v>
      </c>
      <c r="P130" s="806">
        <f>Japallowance2_ori</f>
        <v>0</v>
      </c>
      <c r="Q130" s="806">
        <f>Japallowance2_idr</f>
        <v>0</v>
      </c>
      <c r="R130" s="806">
        <f>G93</f>
        <v>0</v>
      </c>
      <c r="S130" s="806">
        <f>J93</f>
        <v>0</v>
      </c>
    </row>
    <row r="131" spans="1:19" ht="15.75" customHeight="1" thickTop="1" thickBot="1">
      <c r="A131" s="525"/>
      <c r="B131" s="535"/>
      <c r="C131" s="535"/>
      <c r="D131" s="535"/>
      <c r="E131" s="535"/>
      <c r="F131" s="535"/>
      <c r="G131" s="537"/>
      <c r="H131" s="537"/>
      <c r="I131" s="537"/>
      <c r="J131" s="537"/>
      <c r="L131" s="804" t="s">
        <v>1083</v>
      </c>
      <c r="M131" s="804" t="str">
        <f>B95</f>
        <v>Bonuses</v>
      </c>
      <c r="N131" s="804" t="s">
        <v>1087</v>
      </c>
      <c r="O131" s="805">
        <f>D100</f>
        <v>0</v>
      </c>
      <c r="P131" s="806">
        <f>Japbonus_ori</f>
        <v>0</v>
      </c>
      <c r="Q131" s="806">
        <f>JapanBonus</f>
        <v>0</v>
      </c>
      <c r="R131" s="806">
        <f>G108</f>
        <v>0</v>
      </c>
      <c r="S131" s="806">
        <f>J108</f>
        <v>0</v>
      </c>
    </row>
    <row r="132" spans="1:19" s="348" customFormat="1" ht="24" customHeight="1" thickTop="1" thickBot="1">
      <c r="A132" s="538"/>
      <c r="B132" s="552"/>
      <c r="C132" s="1693"/>
      <c r="D132" s="1693"/>
      <c r="E132" s="539" t="s">
        <v>234</v>
      </c>
      <c r="F132" s="350">
        <f>SUM(F115:F130)</f>
        <v>0</v>
      </c>
      <c r="G132" s="551"/>
      <c r="H132" s="350">
        <f>SUM(H115:H130)</f>
        <v>0</v>
      </c>
      <c r="I132" s="708"/>
      <c r="J132" s="708"/>
      <c r="K132" s="345"/>
      <c r="L132" s="804" t="s">
        <v>1084</v>
      </c>
      <c r="M132" s="804" t="str">
        <f>B110</f>
        <v>Tax allowance</v>
      </c>
      <c r="N132" s="804" t="s">
        <v>1088</v>
      </c>
      <c r="O132" s="805" t="s">
        <v>1014</v>
      </c>
      <c r="P132" s="806">
        <f>Japtaxallowance_ori</f>
        <v>0</v>
      </c>
      <c r="Q132" s="806">
        <f>Japtaxallowance_idr</f>
        <v>0</v>
      </c>
      <c r="R132" s="806"/>
      <c r="S132" s="807"/>
    </row>
    <row r="133" spans="1:11" s="348" customFormat="1" ht="15.75" customHeight="1" thickTop="1">
      <c r="A133" s="538"/>
      <c r="B133" s="552"/>
      <c r="C133" s="552"/>
      <c r="D133" s="552"/>
      <c r="E133" s="552"/>
      <c r="F133" s="553"/>
      <c r="G133" s="553"/>
      <c r="H133" s="525"/>
      <c r="I133" s="525"/>
      <c r="J133" s="525"/>
      <c r="K133" s="345"/>
    </row>
    <row r="134" spans="1:10" s="321" customFormat="1" ht="17.25" customHeight="1">
      <c r="A134" s="573" t="s">
        <v>476</v>
      </c>
      <c r="B134" s="522"/>
      <c r="C134" s="522"/>
      <c r="D134" s="522"/>
      <c r="E134" s="522"/>
      <c r="F134" s="522"/>
      <c r="G134" s="523"/>
      <c r="H134" s="523"/>
      <c r="I134" s="523"/>
      <c r="J134" s="523"/>
    </row>
    <row r="135" spans="1:11" s="321" customFormat="1" ht="13.5" customHeight="1" thickBot="1">
      <c r="A135" s="536"/>
      <c r="B135" s="524"/>
      <c r="C135" s="524"/>
      <c r="D135" s="524"/>
      <c r="E135" s="524"/>
      <c r="F135" s="524"/>
      <c r="G135" s="524"/>
      <c r="H135" s="536"/>
      <c r="I135" s="554"/>
      <c r="J135" s="708"/>
      <c r="K135" s="708"/>
    </row>
    <row r="136" spans="1:11" s="321" customFormat="1" ht="27" customHeight="1" thickTop="1" thickBot="1">
      <c r="A136" s="707" t="s">
        <v>921</v>
      </c>
      <c r="B136" s="1150"/>
      <c r="C136" s="1689"/>
      <c r="D136" s="707" t="s">
        <v>922</v>
      </c>
      <c r="E136" s="1712"/>
      <c r="F136" s="556" t="s">
        <v>508</v>
      </c>
      <c r="G136" s="556" t="s">
        <v>486</v>
      </c>
      <c r="H136" s="707" t="s">
        <v>460</v>
      </c>
      <c r="I136" s="707" t="s">
        <v>1008</v>
      </c>
      <c r="J136" s="707" t="s">
        <v>1009</v>
      </c>
      <c r="K136" s="708"/>
    </row>
    <row r="137" spans="1:19" s="321" customFormat="1" customHeight="1" thickTop="1">
      <c r="A137" s="558"/>
      <c r="B137" s="559"/>
      <c r="C137" s="559"/>
      <c r="D137" s="560"/>
      <c r="E137" s="1690"/>
      <c r="F137" s="560"/>
      <c r="G137" s="561"/>
      <c r="H137" s="723"/>
      <c r="I137" s="723"/>
      <c r="J137" s="723"/>
      <c r="K137" s="708"/>
      <c r="L137" s="803" t="s">
        <v>1077</v>
      </c>
      <c r="M137" s="803" t="s">
        <v>1078</v>
      </c>
      <c r="N137" s="803" t="s">
        <v>1079</v>
      </c>
      <c r="O137" s="803" t="s">
        <v>997</v>
      </c>
      <c r="P137" s="803" t="s">
        <v>486</v>
      </c>
      <c r="Q137" s="803" t="s">
        <v>460</v>
      </c>
      <c r="R137" s="803" t="s">
        <v>1008</v>
      </c>
      <c r="S137" s="803" t="s">
        <v>1009</v>
      </c>
    </row>
    <row r="138" spans="1:19" s="321" customFormat="1">
      <c r="A138" s="1691">
        <f t="shared" si="12" ref="A138:A143">M138</f>
        <v>0</v>
      </c>
      <c r="B138" s="1720"/>
      <c r="C138" s="1692"/>
      <c r="D138" s="1691">
        <f t="shared" si="13" ref="D138:D143">N138</f>
        <v>0</v>
      </c>
      <c r="E138" s="1692"/>
      <c r="F138" s="801">
        <f t="shared" si="14" ref="F138:J143">O138</f>
        <v>0</v>
      </c>
      <c r="G138" s="802">
        <f t="shared" si="14">P138</f>
        <v>0</v>
      </c>
      <c r="H138" s="802">
        <f t="shared" si="14">Q138</f>
        <v>0</v>
      </c>
      <c r="I138" s="802">
        <f t="shared" si="14">R138</f>
        <v>0</v>
      </c>
      <c r="J138" s="802">
        <f t="shared" si="14">S138</f>
        <v>0</v>
      </c>
      <c r="K138" s="708"/>
      <c r="L138" s="808">
        <f>IF(Japsalary1_ori&gt;0,L127,IF(Japsalary2_ori&gt;0,L128,IF(Japallowance1_ori&gt;0,L129,IF(Japallowance2_ori&gt;0,L130,IF(Japbonus_ori&gt;0,L131,IF(Japtaxallowance_ori&gt;0,L132,""))))))</f>
        <v>0</v>
      </c>
      <c r="M138" s="809">
        <f t="shared" si="15" ref="M138:M143">IF(ISNA(VLOOKUP(L138,$L$127:$S$132,2,False))=True,"",VLOOKUP(L138,$L$127:$S$132,2,False))</f>
        <v>0</v>
      </c>
      <c r="N138" s="809">
        <f t="shared" si="16" ref="N138:N143">IF(ISNA(VLOOKUP(L138,$L$127:$S$132,3,False))=True,"",VLOOKUP(L138,$L$127:$S$132,3,False))</f>
        <v>0</v>
      </c>
      <c r="O138" s="810">
        <f t="shared" si="17" ref="O138:O143">IF(ISNA(VLOOKUP(L138,$L$127:$S$132,4,False))=True,"",VLOOKUP(L138,$L$127:$S$132,4,False))</f>
        <v>0</v>
      </c>
      <c r="P138" s="806">
        <f t="shared" si="18" ref="P138:P143">IF(ISNA(VLOOKUP(L138,$L$127:$S$132,5,False))=True,"",VLOOKUP(L138,$L$127:$S$132,5,False))</f>
        <v>0</v>
      </c>
      <c r="Q138" s="806">
        <f t="shared" si="19" ref="Q138:Q143">IF(ISNA(VLOOKUP(L138,$L$127:$S$132,6,False))=True,"",VLOOKUP(L138,$L$127:$S$132,6,False))</f>
        <v>0</v>
      </c>
      <c r="R138" s="806">
        <f t="shared" si="20" ref="R138:R143">IF(ISNA(VLOOKUP(L138,$L$127:$S$132,7,False))=True,"",VLOOKUP(L138,$L$127:$S$132,7,False))</f>
        <v>0</v>
      </c>
      <c r="S138" s="806">
        <f t="shared" si="21" ref="S138:S143">IF(ISNA(VLOOKUP(L138,$L$127:$S$132,8,False))=True,"",VLOOKUP(L138,$L$127:$S$132,8,False))</f>
        <v>0</v>
      </c>
    </row>
    <row r="139" spans="1:19" s="321" customFormat="1">
      <c r="A139" s="1691">
        <f t="shared" si="12">M139</f>
        <v>0</v>
      </c>
      <c r="B139" s="1720"/>
      <c r="C139" s="1692"/>
      <c r="D139" s="1691">
        <f t="shared" si="13">N139</f>
        <v>0</v>
      </c>
      <c r="E139" s="1692"/>
      <c r="F139" s="801">
        <f t="shared" si="14">O139</f>
        <v>0</v>
      </c>
      <c r="G139" s="802">
        <f t="shared" si="14">P139</f>
        <v>0</v>
      </c>
      <c r="H139" s="802">
        <f t="shared" si="14">Q139</f>
        <v>0</v>
      </c>
      <c r="I139" s="802">
        <f t="shared" si="14">R139</f>
        <v>0</v>
      </c>
      <c r="J139" s="802">
        <f t="shared" si="14">S139</f>
        <v>0</v>
      </c>
      <c r="K139" s="708"/>
      <c r="L139" s="808">
        <f>IF(AND(Japsalary2_ori&lt;&gt;0,L128&lt;&gt;L138),L128,IF(AND(Japallowance1_ori&lt;&gt;0,L129&lt;&gt;L138),L129,IF(AND(Japallowance2_ori&lt;&gt;0,L130&lt;&gt;L138),L130,IF(AND(Japbonus_ori&lt;&gt;0,L131&lt;&gt;L138),L131,IF(AND(Japtaxallowance_ori&lt;&gt;0,L132&lt;&gt;L138),L132,"")))))</f>
        <v>0</v>
      </c>
      <c r="M139" s="809">
        <f t="shared" si="15">IF(ISNA(VLOOKUP(L139,$L$127:$S$132,2,False))=True,"",VLOOKUP(L139,$L$127:$S$132,2,False))</f>
        <v>0</v>
      </c>
      <c r="N139" s="809">
        <f t="shared" si="16">IF(ISNA(VLOOKUP(L139,$L$127:$S$132,3,False))=True,"",VLOOKUP(L139,$L$127:$S$132,3,False))</f>
        <v>0</v>
      </c>
      <c r="O139" s="810">
        <f t="shared" si="17">IF(ISNA(VLOOKUP(L139,$L$127:$S$132,4,False))=True,"",VLOOKUP(L139,$L$127:$S$132,4,False))</f>
        <v>0</v>
      </c>
      <c r="P139" s="806">
        <f t="shared" si="18">IF(ISNA(VLOOKUP(L139,$L$127:$S$132,5,False))=True,"",VLOOKUP(L139,$L$127:$S$132,5,False))</f>
        <v>0</v>
      </c>
      <c r="Q139" s="806">
        <f t="shared" si="19">IF(ISNA(VLOOKUP(L139,$L$127:$S$132,6,False))=True,"",VLOOKUP(L139,$L$127:$S$132,6,False))</f>
        <v>0</v>
      </c>
      <c r="R139" s="806">
        <f t="shared" si="20">IF(ISNA(VLOOKUP(L139,$L$127:$S$132,7,False))=True,"",VLOOKUP(L139,$L$127:$S$132,7,False))</f>
        <v>0</v>
      </c>
      <c r="S139" s="806">
        <f t="shared" si="21">IF(ISNA(VLOOKUP(L139,$L$127:$S$132,8,False))=True,"",VLOOKUP(L139,$L$127:$S$132,8,False))</f>
        <v>0</v>
      </c>
    </row>
    <row r="140" spans="1:19" s="321" customFormat="1">
      <c r="A140" s="1691">
        <f t="shared" si="12">M140</f>
        <v>0</v>
      </c>
      <c r="B140" s="1720"/>
      <c r="C140" s="1692"/>
      <c r="D140" s="1691">
        <f t="shared" si="13">N140</f>
        <v>0</v>
      </c>
      <c r="E140" s="1692"/>
      <c r="F140" s="801">
        <f t="shared" si="14">O140</f>
        <v>0</v>
      </c>
      <c r="G140" s="802">
        <f t="shared" si="14">P140</f>
        <v>0</v>
      </c>
      <c r="H140" s="802">
        <f t="shared" si="14">Q140</f>
        <v>0</v>
      </c>
      <c r="I140" s="802">
        <f t="shared" si="14">R140</f>
        <v>0</v>
      </c>
      <c r="J140" s="802">
        <f t="shared" si="14">S140</f>
        <v>0</v>
      </c>
      <c r="K140" s="708"/>
      <c r="L140" s="808">
        <f>IF(AND(Japallowance1_ori&lt;&gt;0,L129&lt;&gt;L139,L129&lt;&gt;L138),L129,IF(AND(Japallowance2_ori&lt;&gt;0,L130&lt;&gt;L139,L130&lt;&gt;L138),L130,IF(AND(Japbonus_ori&lt;&gt;0,L131&lt;&gt;L139,L131&lt;&gt;L138),L131,IF(AND(Japtaxallowance_ori&lt;&gt;0,L132&lt;&gt;L139,L132&lt;&gt;L138),L132,""))))</f>
        <v>0</v>
      </c>
      <c r="M140" s="809">
        <f t="shared" si="15">IF(ISNA(VLOOKUP(L140,$L$127:$S$132,2,False))=True,"",VLOOKUP(L140,$L$127:$S$132,2,False))</f>
        <v>0</v>
      </c>
      <c r="N140" s="809">
        <f t="shared" si="16">IF(ISNA(VLOOKUP(L140,$L$127:$S$132,3,False))=True,"",VLOOKUP(L140,$L$127:$S$132,3,False))</f>
        <v>0</v>
      </c>
      <c r="O140" s="810">
        <f t="shared" si="17">IF(ISNA(VLOOKUP(L140,$L$127:$S$132,4,False))=True,"",VLOOKUP(L140,$L$127:$S$132,4,False))</f>
        <v>0</v>
      </c>
      <c r="P140" s="806">
        <f t="shared" si="18">IF(ISNA(VLOOKUP(L140,$L$127:$S$132,5,False))=True,"",VLOOKUP(L140,$L$127:$S$132,5,False))</f>
        <v>0</v>
      </c>
      <c r="Q140" s="806">
        <f t="shared" si="19">IF(ISNA(VLOOKUP(L140,$L$127:$S$132,6,False))=True,"",VLOOKUP(L140,$L$127:$S$132,6,False))</f>
        <v>0</v>
      </c>
      <c r="R140" s="806">
        <f t="shared" si="20">IF(ISNA(VLOOKUP(L140,$L$127:$S$132,7,False))=True,"",VLOOKUP(L140,$L$127:$S$132,7,False))</f>
        <v>0</v>
      </c>
      <c r="S140" s="806">
        <f t="shared" si="21">IF(ISNA(VLOOKUP(L140,$L$127:$S$132,8,False))=True,"",VLOOKUP(L140,$L$127:$S$132,8,False))</f>
        <v>0</v>
      </c>
    </row>
    <row r="141" spans="1:19" s="321" customFormat="1">
      <c r="A141" s="1691">
        <f t="shared" si="12">M141</f>
        <v>0</v>
      </c>
      <c r="B141" s="1720"/>
      <c r="C141" s="1692"/>
      <c r="D141" s="1691">
        <f t="shared" si="13">N141</f>
        <v>0</v>
      </c>
      <c r="E141" s="1692"/>
      <c r="F141" s="801">
        <f t="shared" si="14">O141</f>
        <v>0</v>
      </c>
      <c r="G141" s="802">
        <f t="shared" si="14">P141</f>
        <v>0</v>
      </c>
      <c r="H141" s="802">
        <f t="shared" si="14">Q141</f>
        <v>0</v>
      </c>
      <c r="I141" s="802">
        <f t="shared" si="14">R141</f>
        <v>0</v>
      </c>
      <c r="J141" s="802">
        <f t="shared" si="14">S141</f>
        <v>0</v>
      </c>
      <c r="K141" s="708"/>
      <c r="L141" s="808">
        <f>IF(AND(Japallowance2_ori&gt;0,L130&lt;&gt;L140,L130&lt;&gt;L139,L130&lt;&gt;L138),L130,IF(AND(Japbonus_ori&gt;0,L131&lt;&gt;L140,L131&lt;&gt;L139,L131&lt;&gt;L138),L131,IF(AND(Japtaxallowance_ori&gt;0,L132&lt;&gt;L140,L132&lt;&gt;L139,L132&lt;&gt;L138),L132,"")))</f>
        <v>0</v>
      </c>
      <c r="M141" s="809">
        <f t="shared" si="15">IF(ISNA(VLOOKUP(L141,$L$127:$S$132,2,False))=True,"",VLOOKUP(L141,$L$127:$S$132,2,False))</f>
        <v>0</v>
      </c>
      <c r="N141" s="809">
        <f t="shared" si="16">IF(ISNA(VLOOKUP(L141,$L$127:$S$132,3,False))=True,"",VLOOKUP(L141,$L$127:$S$132,3,False))</f>
        <v>0</v>
      </c>
      <c r="O141" s="810">
        <f t="shared" si="17">IF(ISNA(VLOOKUP(L141,$L$127:$S$132,4,False))=True,"",VLOOKUP(L141,$L$127:$S$132,4,False))</f>
        <v>0</v>
      </c>
      <c r="P141" s="806">
        <f t="shared" si="18">IF(ISNA(VLOOKUP(L141,$L$127:$S$132,5,False))=True,"",VLOOKUP(L141,$L$127:$S$132,5,False))</f>
        <v>0</v>
      </c>
      <c r="Q141" s="806">
        <f t="shared" si="19">IF(ISNA(VLOOKUP(L141,$L$127:$S$132,6,False))=True,"",VLOOKUP(L141,$L$127:$S$132,6,False))</f>
        <v>0</v>
      </c>
      <c r="R141" s="806">
        <f t="shared" si="20">IF(ISNA(VLOOKUP(L141,$L$127:$S$132,7,False))=True,"",VLOOKUP(L141,$L$127:$S$132,7,False))</f>
        <v>0</v>
      </c>
      <c r="S141" s="806">
        <f t="shared" si="21">IF(ISNA(VLOOKUP(L141,$L$127:$S$132,8,False))=True,"",VLOOKUP(L141,$L$127:$S$132,8,False))</f>
        <v>0</v>
      </c>
    </row>
    <row r="142" spans="1:19" s="321" customFormat="1">
      <c r="A142" s="1691">
        <f t="shared" si="12">M142</f>
        <v>0</v>
      </c>
      <c r="B142" s="1720"/>
      <c r="C142" s="1692"/>
      <c r="D142" s="1691">
        <f t="shared" si="13">N142</f>
        <v>0</v>
      </c>
      <c r="E142" s="1692"/>
      <c r="F142" s="801">
        <f t="shared" si="14">O142</f>
        <v>0</v>
      </c>
      <c r="G142" s="802">
        <f t="shared" si="14">P142</f>
        <v>0</v>
      </c>
      <c r="H142" s="802">
        <f t="shared" si="14">Q142</f>
        <v>0</v>
      </c>
      <c r="I142" s="802">
        <f t="shared" si="14">R142</f>
        <v>0</v>
      </c>
      <c r="J142" s="802">
        <f t="shared" si="14">S142</f>
        <v>0</v>
      </c>
      <c r="K142" s="708"/>
      <c r="L142" s="808">
        <f>IF(AND(Japbonus_ori&gt;0,L131&lt;&gt;L141,L131&lt;&gt;L140,L131&lt;&gt;L139,L131&lt;&gt;L138),L131,IF(AND(Japtaxallowance_ori&gt;0,L132&lt;&gt;L141,L132&lt;&gt;L140,L132&lt;&gt;L139,L132&lt;&gt;L138),L132,""))</f>
        <v>0</v>
      </c>
      <c r="M142" s="809">
        <f t="shared" si="15">IF(ISNA(VLOOKUP(L142,$L$127:$S$132,2,False))=True,"",VLOOKUP(L142,$L$127:$S$132,2,False))</f>
        <v>0</v>
      </c>
      <c r="N142" s="809">
        <f t="shared" si="16">IF(ISNA(VLOOKUP(L142,$L$127:$S$132,3,False))=True,"",VLOOKUP(L142,$L$127:$S$132,3,False))</f>
        <v>0</v>
      </c>
      <c r="O142" s="810">
        <f t="shared" si="17">IF(ISNA(VLOOKUP(L142,$L$127:$S$132,4,False))=True,"",VLOOKUP(L142,$L$127:$S$132,4,False))</f>
        <v>0</v>
      </c>
      <c r="P142" s="806">
        <f t="shared" si="18">IF(ISNA(VLOOKUP(L142,$L$127:$S$132,5,False))=True,"",VLOOKUP(L142,$L$127:$S$132,5,False))</f>
        <v>0</v>
      </c>
      <c r="Q142" s="806">
        <f t="shared" si="19">IF(ISNA(VLOOKUP(L142,$L$127:$S$132,6,False))=True,"",VLOOKUP(L142,$L$127:$S$132,6,False))</f>
        <v>0</v>
      </c>
      <c r="R142" s="806">
        <f t="shared" si="20">IF(ISNA(VLOOKUP(L142,$L$127:$S$132,7,False))=True,"",VLOOKUP(L142,$L$127:$S$132,7,False))</f>
        <v>0</v>
      </c>
      <c r="S142" s="806">
        <f t="shared" si="21">IF(ISNA(VLOOKUP(L142,$L$127:$S$132,8,False))=True,"",VLOOKUP(L142,$L$127:$S$132,8,False))</f>
        <v>0</v>
      </c>
    </row>
    <row r="143" spans="1:19" s="321" customFormat="1">
      <c r="A143" s="1691">
        <f t="shared" si="12">M143</f>
        <v>0</v>
      </c>
      <c r="B143" s="1720"/>
      <c r="C143" s="1692"/>
      <c r="D143" s="1691">
        <f t="shared" si="13">N143</f>
        <v>0</v>
      </c>
      <c r="E143" s="1692"/>
      <c r="F143" s="801">
        <f t="shared" si="14">O143</f>
        <v>0</v>
      </c>
      <c r="G143" s="802">
        <f t="shared" si="14">P143</f>
        <v>0</v>
      </c>
      <c r="H143" s="802">
        <f t="shared" si="14">Q143</f>
        <v>0</v>
      </c>
      <c r="I143" s="802">
        <f t="shared" si="14">R143</f>
        <v>0</v>
      </c>
      <c r="J143" s="802">
        <f t="shared" si="14">S143</f>
        <v>0</v>
      </c>
      <c r="K143" s="708"/>
      <c r="L143" s="808">
        <f>IF(AND(Japtaxallowance_ori&gt;0,L132&lt;&gt;L142,L132&lt;&gt;L141,L132&lt;&gt;L140,L132&lt;&gt;L139,L132&lt;&gt;L138),L132,"")</f>
        <v>0</v>
      </c>
      <c r="M143" s="809">
        <f t="shared" si="15">IF(ISNA(VLOOKUP(L143,$L$127:$S$132,2,False))=True,"",VLOOKUP(L143,$L$127:$S$132,2,False))</f>
        <v>0</v>
      </c>
      <c r="N143" s="809">
        <f t="shared" si="16">IF(ISNA(VLOOKUP(L143,$L$127:$S$132,3,False))=True,"",VLOOKUP(L143,$L$127:$S$132,3,False))</f>
        <v>0</v>
      </c>
      <c r="O143" s="810">
        <f t="shared" si="17">IF(ISNA(VLOOKUP(L143,$L$127:$S$132,4,False))=True,"",VLOOKUP(L143,$L$127:$S$132,4,False))</f>
        <v>0</v>
      </c>
      <c r="P143" s="806">
        <f t="shared" si="18">IF(ISNA(VLOOKUP(L143,$L$127:$S$132,5,False))=True,"",VLOOKUP(L143,$L$127:$S$132,5,False))</f>
        <v>0</v>
      </c>
      <c r="Q143" s="806">
        <f t="shared" si="19">IF(ISNA(VLOOKUP(L143,$L$127:$S$132,6,False))=True,"",VLOOKUP(L143,$L$127:$S$132,6,False))</f>
        <v>0</v>
      </c>
      <c r="R143" s="806">
        <f t="shared" si="20">IF(ISNA(VLOOKUP(L143,$L$127:$S$132,7,False))=True,"",VLOOKUP(L143,$L$127:$S$132,7,False))</f>
        <v>0</v>
      </c>
      <c r="S143" s="806">
        <f t="shared" si="21">IF(ISNA(VLOOKUP(L143,$L$127:$S$132,8,False))=True,"",VLOOKUP(L143,$L$127:$S$132,8,False))</f>
        <v>0</v>
      </c>
    </row>
    <row r="144" spans="1:14" s="321" customFormat="1" ht="13.5" customHeight="1">
      <c r="A144" s="1691"/>
      <c r="B144" s="1720"/>
      <c r="C144" s="1692"/>
      <c r="D144" s="1691"/>
      <c r="E144" s="1692"/>
      <c r="F144" s="801"/>
      <c r="G144" s="802"/>
      <c r="H144" s="802"/>
      <c r="I144" s="802"/>
      <c r="J144" s="802"/>
      <c r="K144" s="708"/>
      <c r="L144" s="708"/>
      <c r="M144" s="342"/>
      <c r="N144" s="342"/>
    </row>
    <row r="145" spans="1:14" s="321" customFormat="1" ht="13.5" customHeight="1">
      <c r="A145" s="1691"/>
      <c r="B145" s="1720"/>
      <c r="C145" s="1692"/>
      <c r="D145" s="1691"/>
      <c r="E145" s="1692"/>
      <c r="F145" s="801"/>
      <c r="G145" s="802"/>
      <c r="H145" s="802"/>
      <c r="I145" s="802"/>
      <c r="J145" s="802"/>
      <c r="K145" s="708"/>
      <c r="L145" s="708"/>
      <c r="M145" s="342"/>
      <c r="N145" s="342"/>
    </row>
    <row r="146" spans="1:14" s="321" customFormat="1" ht="13.5" customHeight="1" thickBot="1">
      <c r="A146" s="562"/>
      <c r="B146" s="563"/>
      <c r="C146" s="563"/>
      <c r="D146" s="1716"/>
      <c r="E146" s="1717"/>
      <c r="F146" s="563"/>
      <c r="G146" s="564"/>
      <c r="H146" s="724"/>
      <c r="I146" s="724"/>
      <c r="J146" s="724"/>
      <c r="K146" s="708"/>
      <c r="L146" s="708"/>
      <c r="M146" s="342"/>
      <c r="N146" s="342"/>
    </row>
    <row r="147" spans="1:13" s="321" customFormat="1" ht="14.25" customHeight="1" thickTop="1" thickBot="1">
      <c r="A147" s="524"/>
      <c r="B147" s="524"/>
      <c r="C147" s="524"/>
      <c r="D147" s="565"/>
      <c r="E147" s="524"/>
      <c r="F147" s="524"/>
      <c r="G147" s="524"/>
      <c r="H147" s="524"/>
      <c r="I147" s="708"/>
      <c r="J147" s="708"/>
      <c r="K147" s="708"/>
      <c r="L147" s="708"/>
      <c r="M147" s="342"/>
    </row>
    <row r="148" spans="1:13" s="321" customFormat="1" ht="14.25" customHeight="1" thickTop="1" thickBot="1">
      <c r="A148" s="524"/>
      <c r="B148" s="524"/>
      <c r="C148" s="524"/>
      <c r="D148" s="565"/>
      <c r="E148" s="524"/>
      <c r="F148" s="524"/>
      <c r="G148" s="524"/>
      <c r="H148" s="725">
        <f>SUM(H138:H146)</f>
        <v>0</v>
      </c>
      <c r="I148" s="726">
        <f>SUM(I138:I146)</f>
        <v>0</v>
      </c>
      <c r="J148" s="726">
        <f>SUM(J138:J146)</f>
        <v>0</v>
      </c>
      <c r="K148" s="708"/>
      <c r="L148" s="708"/>
      <c r="M148" s="342"/>
    </row>
    <row r="149" spans="1:11" s="321" customFormat="1" ht="14.25" customHeight="1" thickTop="1" thickBot="1">
      <c r="A149" s="536"/>
      <c r="B149" s="536"/>
      <c r="C149" s="536"/>
      <c r="D149" s="536"/>
      <c r="E149" s="536"/>
      <c r="F149" s="536"/>
      <c r="G149" s="536"/>
      <c r="H149" s="536"/>
      <c r="I149" s="736" t="s">
        <v>998</v>
      </c>
      <c r="J149" s="322">
        <f>IF(totaloverseasincome&gt;0,MIN(tax_due,J148,((totaloverseasincome/WORKPERIOD*12)/'CalculationSheet'!R30)*tax_due),0)</f>
        <v>0</v>
      </c>
      <c r="K149" s="708"/>
    </row>
    <row r="150" spans="1:10" s="321" customFormat="1" ht="17.25" customHeight="1" thickTop="1">
      <c r="A150" s="573" t="s">
        <v>370</v>
      </c>
      <c r="B150" s="522"/>
      <c r="C150" s="522"/>
      <c r="D150" s="522"/>
      <c r="E150" s="522"/>
      <c r="F150" s="522"/>
      <c r="G150" s="523"/>
      <c r="H150" s="523"/>
      <c r="I150" s="523"/>
      <c r="J150" s="523"/>
    </row>
    <row r="151" spans="1:10" s="321" customFormat="1" ht="13.5" customHeight="1">
      <c r="A151" s="536"/>
      <c r="B151" s="566"/>
      <c r="C151" s="566"/>
      <c r="D151" s="524"/>
      <c r="E151" s="566"/>
      <c r="F151" s="566"/>
      <c r="G151" s="524"/>
      <c r="H151" s="536"/>
      <c r="I151" s="554"/>
      <c r="J151" s="554"/>
    </row>
    <row r="152" spans="1:10" s="321" customFormat="1" ht="13.5" customHeight="1">
      <c r="A152" s="536"/>
      <c r="B152" s="566" t="s">
        <v>513</v>
      </c>
      <c r="C152" s="566"/>
      <c r="D152" s="524"/>
      <c r="E152" s="566"/>
      <c r="F152" s="566"/>
      <c r="G152" s="524"/>
      <c r="H152" s="536"/>
      <c r="I152" s="554"/>
      <c r="J152" s="554"/>
    </row>
    <row r="153" spans="1:10" s="321" customFormat="1" ht="13.5" customHeight="1" thickBot="1">
      <c r="A153" s="536"/>
      <c r="B153" s="566"/>
      <c r="C153" s="566"/>
      <c r="D153" s="524"/>
      <c r="E153" s="566"/>
      <c r="F153" s="566"/>
      <c r="G153" s="524"/>
      <c r="H153" s="536"/>
      <c r="I153" s="554"/>
      <c r="J153" s="554"/>
    </row>
    <row r="154" spans="1:10" s="321" customFormat="1" ht="26.25" customHeight="1" thickTop="1" thickBot="1">
      <c r="A154" s="555"/>
      <c r="B154" s="1713" t="s">
        <v>507</v>
      </c>
      <c r="C154" s="1712"/>
      <c r="D154" s="1714" t="s">
        <v>506</v>
      </c>
      <c r="E154" s="1715"/>
      <c r="F154" s="556" t="s">
        <v>508</v>
      </c>
      <c r="G154" s="556" t="s">
        <v>486</v>
      </c>
      <c r="H154" s="1150" t="s">
        <v>460</v>
      </c>
      <c r="I154" s="557" t="s">
        <v>1011</v>
      </c>
      <c r="J154" s="557" t="s">
        <v>1010</v>
      </c>
    </row>
    <row r="155" spans="1:10" s="321" customFormat="1" ht="13.5" customHeight="1" thickTop="1">
      <c r="A155" s="536"/>
      <c r="B155" s="1222"/>
      <c r="C155" s="567"/>
      <c r="D155" s="545"/>
      <c r="E155" s="546"/>
      <c r="F155" s="568"/>
      <c r="G155" s="568"/>
      <c r="H155" s="727"/>
      <c r="I155" s="730"/>
      <c r="J155" s="730"/>
    </row>
    <row r="156" spans="1:10" s="321" customFormat="1" ht="12.75" customHeight="1">
      <c r="A156" s="536"/>
      <c r="B156" s="1710" t="s">
        <v>461</v>
      </c>
      <c r="C156" s="1711"/>
      <c r="D156" s="1708" t="s">
        <v>1086</v>
      </c>
      <c r="E156" s="1709"/>
      <c r="F156" s="232" t="s">
        <v>509</v>
      </c>
      <c r="G156" s="232">
        <v>388140</v>
      </c>
      <c r="H156" s="728">
        <v>50136044</v>
      </c>
      <c r="I156" s="731">
        <v>0</v>
      </c>
      <c r="J156" s="737">
        <f>IF(I156&gt;0,MIN(tax_due,I156,((H156/WORKPERIOD*12)/'CalculationSheet'!$R$30*tax_due)),0)</f>
        <v>0</v>
      </c>
    </row>
    <row r="157" spans="1:10" s="321" customFormat="1" ht="12.75" customHeight="1">
      <c r="A157" s="536"/>
      <c r="B157" s="1710"/>
      <c r="C157" s="1711"/>
      <c r="D157" s="1708"/>
      <c r="E157" s="1709"/>
      <c r="F157" s="232"/>
      <c r="G157" s="232"/>
      <c r="H157" s="728"/>
      <c r="I157" s="731"/>
      <c r="J157" s="737">
        <f>IF(I157&gt;0,MIN(tax_due,I157,((H157/WORKPERIOD*12)/'CalculationSheet'!R30*tax_due)),0)</f>
        <v>0</v>
      </c>
    </row>
    <row r="158" spans="1:10" s="321" customFormat="1" ht="12.75" customHeight="1">
      <c r="A158" s="536"/>
      <c r="B158" s="1710"/>
      <c r="C158" s="1711"/>
      <c r="D158" s="1708"/>
      <c r="E158" s="1709"/>
      <c r="F158" s="232"/>
      <c r="G158" s="232"/>
      <c r="H158" s="728"/>
      <c r="I158" s="731"/>
      <c r="J158" s="737">
        <f>IF(I158&gt;0,MIN(tax_due,I158,((H158/WORKPERIOD*12)/'CalculationSheet'!R30*tax_due)),0)</f>
        <v>0</v>
      </c>
    </row>
    <row r="159" spans="1:10" s="321" customFormat="1" ht="12.75" customHeight="1">
      <c r="A159" s="536"/>
      <c r="B159" s="1710"/>
      <c r="C159" s="1711"/>
      <c r="D159" s="1708"/>
      <c r="E159" s="1709"/>
      <c r="F159" s="232"/>
      <c r="G159" s="232"/>
      <c r="H159" s="728"/>
      <c r="I159" s="731"/>
      <c r="J159" s="737">
        <f>IF(I159&gt;0,MIN(tax_due,I159,((H159/WORKPERIOD*12)/'CalculationSheet'!R30*tax_due)),0)</f>
        <v>0</v>
      </c>
    </row>
    <row r="160" spans="1:10" s="321" customFormat="1" ht="12.75" customHeight="1">
      <c r="A160" s="536"/>
      <c r="B160" s="1710"/>
      <c r="C160" s="1711"/>
      <c r="D160" s="1708"/>
      <c r="E160" s="1709"/>
      <c r="F160" s="232"/>
      <c r="G160" s="232"/>
      <c r="H160" s="728"/>
      <c r="I160" s="731"/>
      <c r="J160" s="737">
        <f>IF(I160&gt;0,MIN(tax_due,I160,((H160/WORKPERIOD*12)/'CalculationSheet'!R30*tax_due)),0)</f>
        <v>0</v>
      </c>
    </row>
    <row r="161" spans="1:10" s="321" customFormat="1" ht="13.5" customHeight="1" thickBot="1">
      <c r="A161" s="536"/>
      <c r="B161" s="1223"/>
      <c r="C161" s="569"/>
      <c r="D161" s="563"/>
      <c r="E161" s="570"/>
      <c r="F161" s="571"/>
      <c r="G161" s="571"/>
      <c r="H161" s="729"/>
      <c r="I161" s="732"/>
      <c r="J161" s="732"/>
    </row>
    <row r="162" spans="1:10" s="321" customFormat="1" ht="14.25" customHeight="1" thickTop="1" thickBot="1">
      <c r="A162" s="536"/>
      <c r="B162" s="565"/>
      <c r="C162" s="524"/>
      <c r="D162" s="524"/>
      <c r="E162" s="524"/>
      <c r="F162" s="524"/>
      <c r="G162" s="554"/>
      <c r="H162" s="524"/>
      <c r="I162" s="524"/>
      <c r="J162" s="524"/>
    </row>
    <row r="163" spans="1:10" s="321" customFormat="1" ht="14.25" customHeight="1" thickTop="1" thickBot="1">
      <c r="A163" s="554"/>
      <c r="B163" s="566"/>
      <c r="C163" s="524"/>
      <c r="D163" s="524"/>
      <c r="E163" s="554"/>
      <c r="F163" s="554"/>
      <c r="G163" s="566"/>
      <c r="H163" s="322">
        <f>SUM(H155:H161)</f>
        <v>0</v>
      </c>
      <c r="I163" s="322">
        <f>SUM(I155:I161)</f>
        <v>0</v>
      </c>
      <c r="J163" s="322">
        <f>SUM(J155:J161)</f>
        <v>0</v>
      </c>
    </row>
    <row r="164" spans="1:10" s="321" customFormat="1" ht="13.5" customHeight="1" thickTop="1">
      <c r="A164" s="572"/>
      <c r="B164" s="572"/>
      <c r="C164" s="572"/>
      <c r="D164" s="565"/>
      <c r="E164" s="572"/>
      <c r="F164" s="572"/>
      <c r="G164" s="524"/>
      <c r="H164" s="572"/>
      <c r="I164" s="554"/>
      <c r="J164" s="554"/>
    </row>
  </sheetData>
  <sheetProtection formatCells="0" formatColumns="0" formatRows="0"/>
  <mergeCells count="207">
    <mergeCell ref="A1:J1"/>
    <mergeCell ref="H74:H75"/>
    <mergeCell ref="H97:H98"/>
    <mergeCell ref="D100:E100"/>
    <mergeCell ref="D101:E101"/>
    <mergeCell ref="D102:E102"/>
    <mergeCell ref="D103:E103"/>
    <mergeCell ref="D104:E104"/>
    <mergeCell ref="D113:E113"/>
    <mergeCell ref="B103:C103"/>
    <mergeCell ref="B74:C75"/>
    <mergeCell ref="D74:E75"/>
    <mergeCell ref="F74:G74"/>
    <mergeCell ref="D88:E88"/>
    <mergeCell ref="D89:E89"/>
    <mergeCell ref="D81:E81"/>
    <mergeCell ref="D82:E82"/>
    <mergeCell ref="D83:E83"/>
    <mergeCell ref="D84:E84"/>
    <mergeCell ref="D85:E85"/>
    <mergeCell ref="D86:E86"/>
    <mergeCell ref="B84:C84"/>
    <mergeCell ref="B85:C85"/>
    <mergeCell ref="I74:J74"/>
    <mergeCell ref="F97:G97"/>
    <mergeCell ref="I97:J97"/>
    <mergeCell ref="B91:C91"/>
    <mergeCell ref="B76:C76"/>
    <mergeCell ref="F5:G5"/>
    <mergeCell ref="I5:J5"/>
    <mergeCell ref="B5:C6"/>
    <mergeCell ref="D5:E6"/>
    <mergeCell ref="B28:C29"/>
    <mergeCell ref="D28:E29"/>
    <mergeCell ref="F28:G28"/>
    <mergeCell ref="I28:J28"/>
    <mergeCell ref="B51:C52"/>
    <mergeCell ref="D51:E52"/>
    <mergeCell ref="F51:G51"/>
    <mergeCell ref="I51:J51"/>
    <mergeCell ref="B45:C45"/>
    <mergeCell ref="H5:H6"/>
    <mergeCell ref="H28:H29"/>
    <mergeCell ref="H51:H52"/>
    <mergeCell ref="D30:E30"/>
    <mergeCell ref="D31:E31"/>
    <mergeCell ref="D32:E32"/>
    <mergeCell ref="B38:C38"/>
    <mergeCell ref="B40:C40"/>
    <mergeCell ref="B20:C20"/>
    <mergeCell ref="D159:E159"/>
    <mergeCell ref="B89:C89"/>
    <mergeCell ref="B83:C83"/>
    <mergeCell ref="D87:E87"/>
    <mergeCell ref="B104:C104"/>
    <mergeCell ref="B100:C100"/>
    <mergeCell ref="B101:C101"/>
    <mergeCell ref="B102:C102"/>
    <mergeCell ref="D90:E90"/>
    <mergeCell ref="D91:E91"/>
    <mergeCell ref="D99:E99"/>
    <mergeCell ref="B99:C99"/>
    <mergeCell ref="D77:E77"/>
    <mergeCell ref="B70:D70"/>
    <mergeCell ref="B64:C64"/>
    <mergeCell ref="B65:C65"/>
    <mergeCell ref="B68:C68"/>
    <mergeCell ref="B66:C66"/>
    <mergeCell ref="A142:C142"/>
    <mergeCell ref="B158:C158"/>
    <mergeCell ref="B159:C159"/>
    <mergeCell ref="D64:E64"/>
    <mergeCell ref="B160:C160"/>
    <mergeCell ref="D105:E105"/>
    <mergeCell ref="D106:E106"/>
    <mergeCell ref="D136:E136"/>
    <mergeCell ref="B132:D132"/>
    <mergeCell ref="B154:C154"/>
    <mergeCell ref="B156:C156"/>
    <mergeCell ref="B157:C157"/>
    <mergeCell ref="D154:E154"/>
    <mergeCell ref="D156:E156"/>
    <mergeCell ref="D157:E157"/>
    <mergeCell ref="D158:E158"/>
    <mergeCell ref="D146:E146"/>
    <mergeCell ref="B105:C105"/>
    <mergeCell ref="B108:D108"/>
    <mergeCell ref="B106:C106"/>
    <mergeCell ref="A138:C138"/>
    <mergeCell ref="A139:C139"/>
    <mergeCell ref="A140:C140"/>
    <mergeCell ref="A141:C141"/>
    <mergeCell ref="D144:E144"/>
    <mergeCell ref="A145:C145"/>
    <mergeCell ref="A143:C143"/>
    <mergeCell ref="A144:C144"/>
    <mergeCell ref="D65:E65"/>
    <mergeCell ref="D66:E66"/>
    <mergeCell ref="D67:E67"/>
    <mergeCell ref="D68:E68"/>
    <mergeCell ref="D54:E54"/>
    <mergeCell ref="D55:E55"/>
    <mergeCell ref="D56:E56"/>
    <mergeCell ref="D160:E160"/>
    <mergeCell ref="D76:E76"/>
    <mergeCell ref="D142:E142"/>
    <mergeCell ref="D145:E145"/>
    <mergeCell ref="D140:E140"/>
    <mergeCell ref="D141:E141"/>
    <mergeCell ref="D97:E98"/>
    <mergeCell ref="D143:E143"/>
    <mergeCell ref="B63:C63"/>
    <mergeCell ref="B47:D47"/>
    <mergeCell ref="D44:E44"/>
    <mergeCell ref="B54:C54"/>
    <mergeCell ref="B55:C55"/>
    <mergeCell ref="B56:C56"/>
    <mergeCell ref="B57:C57"/>
    <mergeCell ref="D45:E45"/>
    <mergeCell ref="D53:E53"/>
    <mergeCell ref="B53:C53"/>
    <mergeCell ref="D57:E57"/>
    <mergeCell ref="B58:C58"/>
    <mergeCell ref="B59:C59"/>
    <mergeCell ref="B60:C60"/>
    <mergeCell ref="D58:E58"/>
    <mergeCell ref="D59:E59"/>
    <mergeCell ref="D60:E60"/>
    <mergeCell ref="D61:E61"/>
    <mergeCell ref="D62:E62"/>
    <mergeCell ref="B61:C61"/>
    <mergeCell ref="B62:C62"/>
    <mergeCell ref="D63:E63"/>
    <mergeCell ref="B21:C21"/>
    <mergeCell ref="D40:E40"/>
    <mergeCell ref="D41:E41"/>
    <mergeCell ref="D42:E42"/>
    <mergeCell ref="D43:E43"/>
    <mergeCell ref="D7:E7"/>
    <mergeCell ref="D8:E8"/>
    <mergeCell ref="D9:E9"/>
    <mergeCell ref="D10:E10"/>
    <mergeCell ref="D11:E11"/>
    <mergeCell ref="D12:E12"/>
    <mergeCell ref="D13:E13"/>
    <mergeCell ref="D14:E14"/>
    <mergeCell ref="D33:E33"/>
    <mergeCell ref="D34:E34"/>
    <mergeCell ref="D35:E35"/>
    <mergeCell ref="D36:E36"/>
    <mergeCell ref="D37:E37"/>
    <mergeCell ref="D38:E38"/>
    <mergeCell ref="D39:E39"/>
    <mergeCell ref="B8:C8"/>
    <mergeCell ref="B9:C9"/>
    <mergeCell ref="D21:E21"/>
    <mergeCell ref="D22:E22"/>
    <mergeCell ref="B10:C10"/>
    <mergeCell ref="B11:C11"/>
    <mergeCell ref="B12:C12"/>
    <mergeCell ref="B13:C13"/>
    <mergeCell ref="B14:C14"/>
    <mergeCell ref="B15:C15"/>
    <mergeCell ref="B16:C16"/>
    <mergeCell ref="D15:E15"/>
    <mergeCell ref="D16:E16"/>
    <mergeCell ref="D17:E17"/>
    <mergeCell ref="D18:E18"/>
    <mergeCell ref="D19:E19"/>
    <mergeCell ref="D20:E20"/>
    <mergeCell ref="B24:D24"/>
    <mergeCell ref="B17:C17"/>
    <mergeCell ref="D78:E78"/>
    <mergeCell ref="B39:C39"/>
    <mergeCell ref="B77:C77"/>
    <mergeCell ref="B33:C33"/>
    <mergeCell ref="B34:C34"/>
    <mergeCell ref="B35:C35"/>
    <mergeCell ref="B36:C36"/>
    <mergeCell ref="B37:C37"/>
    <mergeCell ref="B41:C41"/>
    <mergeCell ref="B42:C42"/>
    <mergeCell ref="B43:C43"/>
    <mergeCell ref="B44:C44"/>
    <mergeCell ref="B67:C67"/>
    <mergeCell ref="B30:C30"/>
    <mergeCell ref="B31:C31"/>
    <mergeCell ref="B32:C32"/>
    <mergeCell ref="B18:C18"/>
    <mergeCell ref="B19:C19"/>
    <mergeCell ref="B78:C78"/>
    <mergeCell ref="B79:C79"/>
    <mergeCell ref="B80:C80"/>
    <mergeCell ref="B81:C81"/>
    <mergeCell ref="B82:C82"/>
    <mergeCell ref="A136:C136"/>
    <mergeCell ref="D137:E137"/>
    <mergeCell ref="D138:E138"/>
    <mergeCell ref="D139:E139"/>
    <mergeCell ref="B93:D93"/>
    <mergeCell ref="B90:C90"/>
    <mergeCell ref="B86:C86"/>
    <mergeCell ref="B87:C87"/>
    <mergeCell ref="B88:C88"/>
    <mergeCell ref="D79:E79"/>
    <mergeCell ref="D80:E80"/>
    <mergeCell ref="B97:C98"/>
  </mergeCells>
  <printOptions horizontalCentered="1"/>
  <pageMargins left="0.7" right="0.7" top="0.75" bottom="0.75" header="0.3" footer="0.3"/>
  <pageSetup paperSize="5" scale="70" fitToHeight="0" orientation="portrait"/>
  <headerFooter alignWithMargins="0">
    <oddHeader>&amp;R&amp;"Arial,Bold"&amp;14C.2.1.&amp;P</oddHeader>
    <oddFooter>&amp;L&amp;8Page &amp;P of &amp;N&amp;R&amp;8Printed on &amp;D,&amp;T</oddFooter>
  </headerFooter>
  <rowBreaks count="2" manualBreakCount="2">
    <brk id="71" max="9" man="1"/>
    <brk id="133" max="9" man="1"/>
  </rowBreaks>
  <ignoredErrors>
    <ignoredError sqref="E115:E116" unlockedFormula="1"/>
  </ignoredErrors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ff00"/>
    <pageSetUpPr fitToPage="1"/>
  </sheetPr>
  <dimension ref="A1:AA127"/>
  <sheetViews>
    <sheetView showGridLines="0" zoomScaleSheetLayoutView="100" view="pageBreakPreview" workbookViewId="0">
      <pane ySplit="1" topLeftCell="A2" activePane="bottomLeft" state="frozen"/>
      <selection pane="bottomLeft" activeCell="E8" sqref="E8"/>
    </sheetView>
  </sheetViews>
  <sheetFormatPr defaultColWidth="6.7109375" defaultRowHeight="12.75" baseColWidth="0"/>
  <cols>
    <col min="1" max="1" width="4.7109375" style="340" customWidth="1"/>
    <col min="2" max="2" width="13.13671875" style="1490" customWidth="1"/>
    <col min="3" max="3" width="35.421875" style="340" customWidth="1"/>
    <col min="4" max="4" width="21.7109375" style="340" customWidth="1"/>
    <col min="5" max="5" width="13.7109375" style="1459" customWidth="1"/>
    <col min="6" max="6" width="10.99609375" style="340" bestFit="1" customWidth="1"/>
    <col min="7" max="7" width="18.7109375" style="340" customWidth="1"/>
    <col min="8" max="8" width="17.99609375" style="906" customWidth="1"/>
    <col min="9" max="9" width="19.99609375" style="340" customWidth="1"/>
    <col min="10" max="13" width="19.99609375" style="340" hidden="1" customWidth="1"/>
    <col min="14" max="14" width="19.99609375" style="1490" hidden="1" customWidth="1"/>
    <col min="15" max="16" width="19.99609375" style="340" hidden="1" customWidth="1"/>
    <col min="17" max="17" width="3.99609375" style="340" customWidth="1"/>
    <col min="18" max="18" width="8.421875" style="1262" bestFit="1" customWidth="1"/>
    <col min="19" max="19" width="10.421875" style="440" hidden="1" customWidth="1"/>
    <col min="20" max="20" width="40.7109375" style="440" bestFit="1" customWidth="1"/>
    <col min="21" max="21" width="18.421875" style="1263" customWidth="1"/>
    <col min="22" max="22" width="22.99609375" style="1262" customWidth="1"/>
    <col min="23" max="23" width="3.421875" style="340" customWidth="1"/>
    <col min="24" max="32" width="8.99609375" style="340" hidden="1" customWidth="1"/>
    <col min="33" max="16384" width="6.7109375" style="340" customWidth="1"/>
  </cols>
  <sheetData>
    <row r="1" spans="1:26" ht="33" customHeight="1">
      <c r="A1" s="1740" t="s">
        <v>241</v>
      </c>
      <c r="B1" s="1740"/>
      <c r="C1" s="1740"/>
      <c r="D1" s="1740"/>
      <c r="E1" s="1740"/>
      <c r="F1" s="1740"/>
      <c r="G1" s="1740"/>
      <c r="H1" s="1740"/>
      <c r="I1" s="1740"/>
      <c r="R1" s="1732" t="s">
        <v>1386</v>
      </c>
      <c r="S1" s="1732"/>
      <c r="T1" s="1732"/>
      <c r="U1" s="1732"/>
      <c r="V1" s="1732"/>
      <c r="W1" s="340"/>
      <c r="X1" s="1279"/>
      <c r="Y1" s="1279"/>
      <c r="Z1" s="1279"/>
    </row>
    <row r="2" spans="1:26" ht="18" customHeight="1">
      <c r="A2" s="816" t="s">
        <v>242</v>
      </c>
      <c r="B2" s="1501"/>
      <c r="C2" s="817"/>
      <c r="D2" s="817"/>
      <c r="E2" s="1453"/>
      <c r="F2" s="818"/>
      <c r="G2" s="818"/>
      <c r="H2" s="898"/>
      <c r="I2" s="818"/>
      <c r="R2" s="1731" t="s">
        <v>1387</v>
      </c>
      <c r="S2" s="1731"/>
      <c r="T2" s="1731"/>
      <c r="U2" s="1731"/>
      <c r="V2" s="1731"/>
      <c r="W2" s="340"/>
      <c r="X2" s="514"/>
      <c r="Y2" s="514"/>
      <c r="Z2" s="514"/>
    </row>
    <row r="3" spans="1:26" s="340" customFormat="1" ht="15" customHeight="1">
      <c r="A3" s="639"/>
      <c r="B3" s="1502"/>
      <c r="C3" s="639"/>
      <c r="D3" s="639"/>
      <c r="E3" s="1454"/>
      <c r="F3" s="637"/>
      <c r="G3" s="637"/>
      <c r="H3" s="899"/>
      <c r="I3" s="637"/>
      <c r="L3" s="340"/>
      <c r="N3" s="1490"/>
      <c r="V3" s="340"/>
      <c r="Y3" s="340"/>
      <c r="Z3" s="340"/>
    </row>
    <row r="4" spans="1:26" s="340" customFormat="1" ht="13.5" customHeight="1">
      <c r="A4" s="638" t="s">
        <v>824</v>
      </c>
      <c r="B4" s="1503"/>
      <c r="C4" s="639"/>
      <c r="D4" s="639"/>
      <c r="E4" s="1454"/>
      <c r="F4" s="637"/>
      <c r="G4" s="637"/>
      <c r="H4" s="899"/>
      <c r="I4" s="637"/>
      <c r="L4" s="340"/>
      <c r="N4" s="1490"/>
      <c r="V4" s="340"/>
      <c r="Y4" s="340"/>
      <c r="Z4" s="340"/>
    </row>
    <row r="5" spans="1:26" s="340" customFormat="1" ht="13.5" customHeight="1" thickBot="1">
      <c r="A5" s="638"/>
      <c r="B5" s="1503"/>
      <c r="C5" s="639"/>
      <c r="D5" s="639"/>
      <c r="E5" s="1454"/>
      <c r="F5" s="637"/>
      <c r="G5" s="637"/>
      <c r="H5" s="899"/>
      <c r="I5" s="637"/>
      <c r="L5" s="340"/>
      <c r="N5" s="1490"/>
      <c r="R5" s="1262"/>
      <c r="S5" s="440"/>
      <c r="T5" s="440"/>
      <c r="U5" s="1263"/>
      <c r="V5" s="1262"/>
      <c r="Y5" s="340"/>
      <c r="Z5" s="340"/>
    </row>
    <row r="6" spans="1:22" s="231" customFormat="1" ht="13.5" customHeight="1" thickTop="1" thickBot="1">
      <c r="A6" s="1741" t="s">
        <v>84</v>
      </c>
      <c r="B6" s="1743" t="s">
        <v>1091</v>
      </c>
      <c r="C6" s="1745" t="s">
        <v>243</v>
      </c>
      <c r="D6" s="1734" t="s">
        <v>1092</v>
      </c>
      <c r="E6" s="1747" t="s">
        <v>244</v>
      </c>
      <c r="F6" s="1734" t="s">
        <v>245</v>
      </c>
      <c r="G6" s="1734" t="s">
        <v>246</v>
      </c>
      <c r="H6" s="1734"/>
      <c r="I6" s="1735"/>
      <c r="J6" s="231"/>
      <c r="K6" s="819" t="s">
        <v>1093</v>
      </c>
      <c r="L6" s="1486" t="s">
        <v>1094</v>
      </c>
      <c r="M6" s="820"/>
      <c r="N6" s="1491" t="s">
        <v>1095</v>
      </c>
      <c r="O6" s="821" t="s">
        <v>1096</v>
      </c>
      <c r="P6" s="821"/>
      <c r="Q6" s="825"/>
      <c r="R6" s="1264" t="s">
        <v>242</v>
      </c>
      <c r="S6" s="1265"/>
      <c r="T6" s="1265"/>
      <c r="U6" s="1266"/>
      <c r="V6" s="1267"/>
    </row>
    <row r="7" spans="1:24" s="231" customFormat="1" ht="27" customHeight="1" thickTop="1" thickBot="1">
      <c r="A7" s="1742"/>
      <c r="B7" s="1744"/>
      <c r="C7" s="1746"/>
      <c r="D7" s="822"/>
      <c r="E7" s="1748"/>
      <c r="F7" s="822"/>
      <c r="G7" s="822" t="s">
        <v>247</v>
      </c>
      <c r="H7" s="822" t="s">
        <v>248</v>
      </c>
      <c r="I7" s="823" t="s">
        <v>249</v>
      </c>
      <c r="J7" s="231"/>
      <c r="K7" s="824"/>
      <c r="L7" s="1737" t="s">
        <v>1097</v>
      </c>
      <c r="M7" s="1737"/>
      <c r="N7" s="1737"/>
      <c r="O7" s="825"/>
      <c r="P7" s="825"/>
      <c r="Q7" s="825"/>
      <c r="R7" s="1268" t="s">
        <v>1095</v>
      </c>
      <c r="S7" s="1268" t="s">
        <v>1094</v>
      </c>
      <c r="T7" s="1268" t="s">
        <v>1385</v>
      </c>
      <c r="U7" s="1269" t="s">
        <v>1096</v>
      </c>
      <c r="V7" s="1268" t="s">
        <v>1384</v>
      </c>
      <c r="X7" s="231" t="s">
        <v>1077</v>
      </c>
    </row>
    <row r="8" spans="1:26">
      <c r="A8" s="1224">
        <v>1</v>
      </c>
      <c r="B8" s="1504" t="s">
        <v>1422</v>
      </c>
      <c r="C8" s="826" t="s">
        <v>940</v>
      </c>
      <c r="D8" s="826" t="s">
        <v>1454</v>
      </c>
      <c r="E8" s="1455">
        <v>44181</v>
      </c>
      <c r="F8" s="815" t="s">
        <v>509</v>
      </c>
      <c r="G8" s="232">
        <v>1000</v>
      </c>
      <c r="H8" s="900">
        <v>12332</v>
      </c>
      <c r="I8" s="827">
        <f t="shared" si="0" ref="I8:I22">G8*H8</f>
        <v>0</v>
      </c>
      <c r="K8" s="1738" t="s">
        <v>824</v>
      </c>
      <c r="L8" s="1485" t="s">
        <v>940</v>
      </c>
      <c r="M8" s="828" t="s">
        <v>825</v>
      </c>
      <c r="N8" s="1492" t="s">
        <v>1422</v>
      </c>
      <c r="O8" s="829">
        <f ca="1">SUMIF($B$8:$I$22,N8,$I$8:$I$22)</f>
        <v>0</v>
      </c>
      <c r="P8" s="829"/>
      <c r="Q8" s="829"/>
      <c r="R8" s="1270">
        <f ca="1">IF(Cash&gt;0,N8,IF(SavingAccount&gt;0,N9,IF(CheckingAccoint&gt;0,N10,IF(TimeDeposit&gt;0,N11,IF(OtherCash&gt;0,N12,IF(O13&gt;0,N13,IF(O14&gt;0,N14,IF(O15&gt;0,N15,IF(O16&gt;0,N16,IF(O17&gt;0,N17,IF(O18&gt;0,N18,IF(O19&gt;0,N19,IF(O20&gt;0,N20,IF(O21&gt;0,N21,IF(O22&gt;0,N22,IF(O23&gt;0,N23,IF(O24&gt;0,N24,IF(O25&gt;0,N25,IF(O26&gt;0,N26,IF(O27&gt;0,N27,IF(O28&gt;0,N28,IF(O29&gt;0,N29,IF(O30&gt;0,N30,IF(O31&gt;0,N31,IF(O32&gt;0,N32,IF(O33&gt;0,N33,IF(O34&gt;0,N34,IF(O35&gt;0,N35,IF(O36&gt;0,N36,IF(O37&gt;0,N37,""))))))))))))))))))))))))))))))</f>
        <v>0</v>
      </c>
      <c r="S8" s="1271">
        <f ca="1">IF(ISNA(VLOOKUP(R8,$X$8:$Z$41,2,False))=True,"",VLOOKUP(R8,$X$8:$Z$41,2,False))</f>
        <v>0</v>
      </c>
      <c r="T8" s="1271">
        <f ca="1">IF(ISNA(VLOOKUP(R8,$X$8:$Z$41,3,False))=True,"",VLOOKUP(R8,$X$8:$Z$41,3,False))</f>
        <v>0</v>
      </c>
      <c r="U8" s="1272">
        <f ca="1">IF(ISNA(VLOOKUP(R8,$N$8:$O$37,2,False))=True,"",VLOOKUP(R8,$N$8:$O$37,2,False))</f>
        <v>0</v>
      </c>
      <c r="V8" s="2783">
        <f ca="1">_xlfn.IFNA(IF(ISTEXT(VLOOKUP(R8,$B$8:$I$102,4,0)),VLOOKUP(R8,$B$8:$I$102,4,0),YEAR(VLOOKUP(R8,$B$8:$I$102,4,0))),"")</f>
        <v>0</v>
      </c>
      <c r="X8" s="831" t="s">
        <v>1422</v>
      </c>
      <c r="Y8" s="1485" t="s">
        <v>940</v>
      </c>
      <c r="Z8" s="832" t="s">
        <v>825</v>
      </c>
    </row>
    <row r="9" spans="1:26">
      <c r="A9" s="1224">
        <v>2</v>
      </c>
      <c r="B9" s="1504" t="s">
        <v>1423</v>
      </c>
      <c r="C9" s="826" t="s">
        <v>941</v>
      </c>
      <c r="D9" s="826"/>
      <c r="E9" s="1455">
        <v>44181</v>
      </c>
      <c r="F9" s="815" t="s">
        <v>509</v>
      </c>
      <c r="G9" s="232">
        <v>1000</v>
      </c>
      <c r="H9" s="900">
        <v>12323</v>
      </c>
      <c r="I9" s="827">
        <f t="shared" si="0">G9*H9</f>
        <v>0</v>
      </c>
      <c r="K9" s="1736"/>
      <c r="L9" s="1485" t="s">
        <v>941</v>
      </c>
      <c r="M9" s="828" t="s">
        <v>826</v>
      </c>
      <c r="N9" s="1492" t="s">
        <v>1423</v>
      </c>
      <c r="O9" s="829">
        <f ca="1">SUMIF($B$8:$I$22,N9,$I$8:$I$22)</f>
        <v>0</v>
      </c>
      <c r="P9" s="829"/>
      <c r="Q9" s="829"/>
      <c r="R9" s="1273">
        <f ca="1">IF(AND(SavingAccount&gt;0,N9&lt;&gt;R8),N9,IF(AND(CheckingAccoint&gt;0,N10&lt;&gt;R8),N10,IF(AND(TimeDeposit&gt;0,N11&lt;&gt;R8),N11,IF(AND(OtherCash&lt;&gt;0,N12&lt;&gt;R8),N12,IF(AND(O13&lt;&gt;0,N13&lt;&gt;R8),N13,IF(AND(O14&lt;&gt;0,N14&lt;&gt;R8),N14,IF(AND(O15&lt;&gt;0,N15&lt;&gt;R8),N15,IF(AND(O16&lt;&gt;0,N16&lt;&gt;R8),N16,IF(AND(O17&lt;&gt;0,N17&lt;&gt;R8),N17,IF(AND(O18&lt;&gt;0,N18&lt;&gt;R8),N18,IF(AND(O19&lt;&gt;0,N19&lt;&gt;R8),N19,IF(AND(O20&lt;&gt;0,N20&lt;&gt;R8),N20,IF(AND(O21&lt;&gt;0,N21&lt;&gt;R8),N21,IF(AND(O22&lt;&gt;0,N22&lt;&gt;R8),N22,IF(AND(O23&lt;&gt;0,N23&lt;&gt;R8),N23,IF(AND(O24&lt;&gt;0,N24&lt;&gt;R8),N24,IF(AND(O25&lt;&gt;0,N25&lt;&gt;R8),N25,IF(AND(O26&lt;&gt;0,N26&lt;&gt;R8),N26,IF(AND(O27&lt;&gt;0,N27&lt;&gt;R8),N27,IF(AND(O28&lt;&gt;0,N28&lt;&gt;R8),N28,IF(AND(O29&lt;&gt;0,N29&lt;&gt;R8),N29,IF(AND(O30&lt;&gt;0,N30&lt;&gt;R8),N30,IF(AND(O31&lt;&gt;0,N31&lt;&gt;R8),N31,IF(AND(O32&lt;&gt;0,N32&lt;&gt;R8),N32,IF(AND(O33&lt;&gt;0,N33&lt;&gt;R8),N33,IF(AND(O34&lt;&gt;0,N34&lt;&gt;R8),N34,IF(AND(O35&lt;&gt;0,N35&lt;&gt;R8),N35,IF(AND(O36&lt;&gt;0,N36&lt;&gt;R8),N36,IF(AND(O37&lt;&gt;0,N37&lt;&gt;R8),N37,"")))))))))))))))))))))))))))))</f>
        <v>0</v>
      </c>
      <c r="S9" s="1274">
        <f ca="1" t="shared" si="1" ref="S9:S37">IF(ISNA(VLOOKUP(R9,$X$8:$Z$41,2,False))=True,"",VLOOKUP(R9,$X$8:$Z$41,2,False))</f>
        <v>0</v>
      </c>
      <c r="T9" s="1274">
        <f ca="1" t="shared" si="2" ref="T9:T37">IF(ISNA(VLOOKUP(R9,$X$8:$Z$41,3,False))=True,"",VLOOKUP(R9,$X$8:$Z$41,3,False))</f>
        <v>0</v>
      </c>
      <c r="U9" s="1275">
        <f ca="1" t="shared" si="3" ref="U9:U37">IF(ISNA(VLOOKUP(R9,$N$8:$O$37,2,False))=True,"",VLOOKUP(R9,$N$8:$O$37,2,False))</f>
        <v>0</v>
      </c>
      <c r="V9" s="2783">
        <f ca="1" t="shared" si="4" ref="V9:V37">_xlfn.IFNA(IF(ISTEXT(VLOOKUP(R9,$B$8:$I$102,4,0)),VLOOKUP(R9,$B$8:$I$102,4,0),YEAR(VLOOKUP(R9,$B$8:$I$102,4,0))),"")</f>
        <v>0</v>
      </c>
      <c r="X9" s="831" t="s">
        <v>1423</v>
      </c>
      <c r="Y9" s="1485" t="s">
        <v>941</v>
      </c>
      <c r="Z9" s="832" t="s">
        <v>826</v>
      </c>
    </row>
    <row r="10" spans="1:26" ht="15" customHeight="1">
      <c r="A10" s="1224">
        <v>3</v>
      </c>
      <c r="B10" s="1504"/>
      <c r="C10" s="826"/>
      <c r="D10" s="826"/>
      <c r="E10" s="1455"/>
      <c r="F10" s="815"/>
      <c r="G10" s="232"/>
      <c r="H10" s="900"/>
      <c r="I10" s="827">
        <f t="shared" si="0">G10*H10</f>
        <v>0</v>
      </c>
      <c r="K10" s="1736"/>
      <c r="L10" s="1485" t="s">
        <v>942</v>
      </c>
      <c r="M10" s="828" t="s">
        <v>828</v>
      </c>
      <c r="N10" s="1492" t="s">
        <v>827</v>
      </c>
      <c r="O10" s="829">
        <f ca="1">SUMIF($B$8:$I$22,N10,$I$8:$I$22)</f>
        <v>0</v>
      </c>
      <c r="P10" s="829"/>
      <c r="Q10" s="829"/>
      <c r="R10" s="1273">
        <f ca="1">IF(AND(CheckingAccoint&gt;0,N10&lt;&gt;R9,N10&lt;&gt;R8),N10,IF(AND(TimeDeposit&gt;0,N11&lt;&gt;R9,N11&lt;&gt;R8),N11,IF(AND(OtherCash&lt;&gt;0,N12&lt;&gt;R9,N12&lt;&gt;R8),N12,IF(AND(O13&lt;&gt;0,N13&lt;&gt;R9,N13&lt;&gt;R8),N13,IF(AND(O14&lt;&gt;0,N14&lt;&gt;R9,N14&lt;&gt;R8),N14,IF(AND(O15&lt;&gt;0,N15&lt;&gt;R9,N15&lt;&gt;R8),N15,IF(AND(O16&lt;&gt;0,N16&lt;&gt;R9,N16&lt;&gt;R8),N16,IF(AND(O17&lt;&gt;0,N17&lt;&gt;R9,N17&lt;&gt;R8),N17,IF(AND(O18&lt;&gt;0,N18&lt;&gt;R9,N18&lt;&gt;R8),N18,IF(AND(O19&lt;&gt;0,N19&lt;&gt;R9,N19&lt;&gt;R8),N19,IF(AND(O20&lt;&gt;0,N20&lt;&gt;R9,N20&lt;&gt;R8),N20,IF(AND(O21&lt;&gt;0,N21&lt;&gt;R9,N21&lt;&gt;R8),N21,IF(AND(O22&lt;&gt;0,N22&lt;&gt;R9,N22&lt;&gt;R8),N22,IF(AND(O23&lt;&gt;0,N23&lt;&gt;R9,N23&lt;&gt;R8),N23,IF(AND(O24&lt;&gt;0,N24&lt;&gt;R9,N24&lt;&gt;R8),N24,IF(AND(O25&lt;&gt;0,N25&lt;&gt;R9,N25&lt;&gt;R8),N25,IF(AND(O26&lt;&gt;0,N26&lt;&gt;R9,N26&lt;&gt;R8),N26,IF(AND(O27&lt;&gt;0,N27&lt;&gt;R9,N27&lt;&gt;R8),N27,IF(AND(O28&lt;&gt;0,N28&lt;&gt;R9,N28&lt;&gt;R8),N28,IF(AND(O29&lt;&gt;0,N29&lt;&gt;R9,N29&lt;&gt;R8),N29,IF(AND(O30&lt;&gt;0,N30&lt;&gt;R9,N30&lt;&gt;R8),N30,IF(AND(O31&lt;&gt;0,N31&lt;&gt;R9,N31&lt;&gt;R8),N31,IF(AND(O32&lt;&gt;0,N32&lt;&gt;R9,N32&lt;&gt;R8),N32,IF(AND(O33&lt;&gt;0,N33&lt;&gt;R9,N33&lt;&gt;R8),N33,IF(AND(O34&lt;&gt;0,N34&lt;&gt;R9,N34&lt;&gt;R8),N34,IF(AND(O35&lt;&gt;0,N35&lt;&gt;R9,N35&lt;&gt;R8),N35,IF(AND(O36&lt;&gt;0,N36&lt;&gt;R9,N36&lt;&gt;R8),N36,IF(AND(O37&lt;&gt;0,N37&lt;&gt;R9,N37&lt;&gt;R8),N37,""))))))))))))))))))))))))))))</f>
        <v>0</v>
      </c>
      <c r="S10" s="1274">
        <f ca="1" t="shared" si="1">IF(ISNA(VLOOKUP(R10,$X$8:$Z$41,2,False))=True,"",VLOOKUP(R10,$X$8:$Z$41,2,False))</f>
        <v>0</v>
      </c>
      <c r="T10" s="1274">
        <f ca="1" t="shared" si="2">IF(ISNA(VLOOKUP(R10,$X$8:$Z$41,3,False))=True,"",VLOOKUP(R10,$X$8:$Z$41,3,False))</f>
        <v>0</v>
      </c>
      <c r="U10" s="1275">
        <f ca="1" t="shared" si="3">IF(ISNA(VLOOKUP(R10,$N$8:$O$37,2,False))=True,"",VLOOKUP(R10,$N$8:$O$37,2,False))</f>
        <v>0</v>
      </c>
      <c r="V10" s="2783">
        <f ca="1" t="shared" si="4">_xlfn.IFNA(IF(ISTEXT(VLOOKUP(R10,$B$8:$I$102,4,0)),VLOOKUP(R10,$B$8:$I$102,4,0),YEAR(VLOOKUP(R10,$B$8:$I$102,4,0))),"")</f>
        <v>0</v>
      </c>
      <c r="X10" s="831" t="s">
        <v>827</v>
      </c>
      <c r="Y10" s="1485" t="s">
        <v>942</v>
      </c>
      <c r="Z10" s="832" t="s">
        <v>828</v>
      </c>
    </row>
    <row r="11" spans="1:26">
      <c r="A11" s="1224">
        <v>4</v>
      </c>
      <c r="B11" s="1504"/>
      <c r="C11" s="826"/>
      <c r="D11" s="826"/>
      <c r="E11" s="1455"/>
      <c r="F11" s="815"/>
      <c r="G11" s="232"/>
      <c r="H11" s="900"/>
      <c r="I11" s="827">
        <f t="shared" si="0">G11*H11</f>
        <v>0</v>
      </c>
      <c r="K11" s="1736"/>
      <c r="L11" s="1485" t="s">
        <v>943</v>
      </c>
      <c r="M11" s="828" t="s">
        <v>830</v>
      </c>
      <c r="N11" s="1492" t="s">
        <v>829</v>
      </c>
      <c r="O11" s="829">
        <f ca="1">SUMIF($B$8:$I$22,N11,$I$8:$I$22)</f>
        <v>0</v>
      </c>
      <c r="P11" s="829"/>
      <c r="Q11" s="829"/>
      <c r="R11" s="1273">
        <f ca="1">IF(AND(TimeDeposit&gt;0,N11&lt;&gt;R10,N11&lt;&gt;R9,N11&lt;&gt;R8),N11,IF(AND(OtherCash&lt;&gt;0,N12&lt;&gt;R10,N12&lt;&gt;R9,N12&lt;&gt;R8),N12,IF(AND(O13&lt;&gt;0,N13&lt;&gt;R10,N13&lt;&gt;R9,N13&lt;&gt;R8),N13,IF(AND(O14&lt;&gt;0,N14&lt;&gt;R10,N14&lt;&gt;R9,N14&lt;&gt;R8),N14,IF(AND(O15&lt;&gt;0,N15&lt;&gt;R10,N15&lt;&gt;R9,N15&lt;&gt;R8),N15,IF(AND(O16&lt;&gt;0,N16&lt;&gt;R10,N16&lt;&gt;R9,N16&lt;&gt;R8),N16,IF(AND(O17&lt;&gt;0,N17&lt;&gt;R10,N17&lt;&gt;R9,N17&lt;&gt;R8),N17,IF(AND(O18&lt;&gt;0,N18&lt;&gt;R10,N18&lt;&gt;R9,N18&lt;&gt;R8),N18,IF(AND(O19&lt;&gt;0,N19&lt;&gt;R10,N19&lt;&gt;R9,N19&lt;&gt;R8),N19,IF(AND(O20&lt;&gt;0,N20&lt;&gt;R10,N20&lt;&gt;R9,N20&lt;&gt;R8),N20,IF(AND(O21&lt;&gt;0,N21&lt;&gt;R10,N21&lt;&gt;R9,N21&lt;&gt;R8),N21,IF(AND(O22&lt;&gt;0,N22&lt;&gt;R10,N22&lt;&gt;R9,N22&lt;&gt;R8),N22,IF(AND(O23&lt;&gt;0,N23&lt;&gt;R10,N23&lt;&gt;R9,N23&lt;&gt;R8),N23,IF(AND(O24&lt;&gt;0,N24&lt;&gt;R10,N24&lt;&gt;R9,N24&lt;&gt;R8),N24,IF(AND(O25&lt;&gt;0,N25&lt;&gt;R10,N25&lt;&gt;R9,N25&lt;&gt;R8),N25,IF(AND(O26&lt;&gt;0,N26&lt;&gt;R10,N26&lt;&gt;R9,N26&lt;&gt;R8),N26,IF(AND(O27&lt;&gt;0,N27&lt;&gt;R10,N27&lt;&gt;R9,N27&lt;&gt;R8),N27,IF(AND(O28&lt;&gt;0,N28&lt;&gt;R10,N28&lt;&gt;R9,N28&lt;&gt;R8),N28,IF(AND(O29&lt;&gt;0,N29&lt;&gt;R10,N29&lt;&gt;R9,N29&lt;&gt;R8),N29,IF(AND(O30&lt;&gt;0,N30&lt;&gt;R10,N30&lt;&gt;R9,N30&lt;&gt;R8),N30,IF(AND(O31&lt;&gt;0,N31&lt;&gt;R10,N31&lt;&gt;R9,N31&lt;&gt;R8),N31,IF(AND(O32&lt;&gt;0,N32&lt;&gt;R10,N32&lt;&gt;R9,N32&lt;&gt;R8),N32,IF(AND(O33&lt;&gt;0,N33&lt;&gt;R10,N33&lt;&gt;R9,N33&lt;&gt;R8),N33,IF(AND(O34&lt;&gt;0,N34&lt;&gt;R10,N34&lt;&gt;R9,N34&lt;&gt;R8),N34,IF(AND(O35&lt;&gt;0,N35&lt;&gt;R10,N35&lt;&gt;R9,N35&lt;&gt;R8),N35,IF(AND(O36&lt;&gt;0,N36&lt;&gt;R10,N36&lt;&gt;R9,N36&lt;&gt;R8),N36,IF(AND(O37&lt;&gt;0,N37&lt;&gt;R10,N37&lt;&gt;R9,N37&lt;&gt;R8),N37,"")))))))))))))))))))))))))))</f>
        <v>0</v>
      </c>
      <c r="S11" s="1274">
        <f ca="1" t="shared" si="1">IF(ISNA(VLOOKUP(R11,$X$8:$Z$41,2,False))=True,"",VLOOKUP(R11,$X$8:$Z$41,2,False))</f>
        <v>0</v>
      </c>
      <c r="T11" s="1274">
        <f ca="1" t="shared" si="2">IF(ISNA(VLOOKUP(R11,$X$8:$Z$41,3,False))=True,"",VLOOKUP(R11,$X$8:$Z$41,3,False))</f>
        <v>0</v>
      </c>
      <c r="U11" s="1275">
        <f ca="1" t="shared" si="3">IF(ISNA(VLOOKUP(R11,$N$8:$O$37,2,False))=True,"",VLOOKUP(R11,$N$8:$O$37,2,False))</f>
        <v>0</v>
      </c>
      <c r="V11" s="2783">
        <f ca="1" t="shared" si="4">_xlfn.IFNA(IF(ISTEXT(VLOOKUP(R11,$B$8:$I$102,4,0)),VLOOKUP(R11,$B$8:$I$102,4,0),YEAR(VLOOKUP(R11,$B$8:$I$102,4,0))),"")</f>
        <v>0</v>
      </c>
      <c r="X11" s="831" t="s">
        <v>829</v>
      </c>
      <c r="Y11" s="1485" t="s">
        <v>943</v>
      </c>
      <c r="Z11" s="832" t="s">
        <v>830</v>
      </c>
    </row>
    <row r="12" spans="1:26">
      <c r="A12" s="1224">
        <v>5</v>
      </c>
      <c r="B12" s="1504"/>
      <c r="C12" s="826"/>
      <c r="D12" s="826"/>
      <c r="E12" s="1455"/>
      <c r="F12" s="815"/>
      <c r="G12" s="232"/>
      <c r="H12" s="900"/>
      <c r="I12" s="827">
        <f t="shared" si="0">G12*H12</f>
        <v>0</v>
      </c>
      <c r="K12" s="1736"/>
      <c r="L12" s="1487" t="s">
        <v>944</v>
      </c>
      <c r="M12" s="833" t="s">
        <v>1425</v>
      </c>
      <c r="N12" s="1493" t="s">
        <v>831</v>
      </c>
      <c r="O12" s="829">
        <f ca="1">SUMIF($B$8:$I$22,N12,$I$8:$I$22)</f>
        <v>0</v>
      </c>
      <c r="P12" s="829"/>
      <c r="Q12" s="829"/>
      <c r="R12" s="1273">
        <f ca="1">IF(AND(OtherCash&lt;&gt;0,N12&lt;&gt;R10,N12&lt;&gt;R11,N12&lt;&gt;R9,N12&lt;&gt;R8),N12,IF(AND(O13&lt;&gt;0,N13&lt;&gt;R11,N13&lt;&gt;R10,N13&lt;&gt;R9,N13&lt;&gt;R8),N13,IF(AND(O14&lt;&gt;0,N14&lt;&gt;R11,N14&lt;&gt;R10,N14&lt;&gt;R9,N14&lt;&gt;R8),N14,IF(AND(O15&lt;&gt;0,N15&lt;&gt;R11,N15&lt;&gt;R10,N15&lt;&gt;R9,N15&lt;&gt;R8),N15,IF(AND(O16&lt;&gt;0,N16&lt;&gt;R11,N16&lt;&gt;R10,N16&lt;&gt;R9,N16&lt;&gt;R8),N16,IF(AND(O17&lt;&gt;0,N17&lt;&gt;R11,N17&lt;&gt;R10,N17&lt;&gt;R9,N17&lt;&gt;R8),N17,IF(AND(O18&lt;&gt;0,N18&lt;&gt;R11,N18&lt;&gt;R10,N18&lt;&gt;R9,N18&lt;&gt;R8),N18,IF(AND(O19&lt;&gt;0,N19&lt;&gt;R11,N19&lt;&gt;R10,N19&lt;&gt;R9,N19&lt;&gt;R8),N19,IF(AND(O20&lt;&gt;0,N20&lt;&gt;R11,N20&lt;&gt;R10,N20&lt;&gt;R9,N20&lt;&gt;R8),N20,IF(AND(O21&lt;&gt;0,N21&lt;&gt;R11,N21&lt;&gt;R10,N21&lt;&gt;R9,N21&lt;&gt;R8),N21,IF(AND(O22&lt;&gt;0,N22&lt;&gt;R11,N22&lt;&gt;R10,N22&lt;&gt;R9,N22&lt;&gt;R8),N22,IF(AND(O23&lt;&gt;0,N23&lt;&gt;R11,N23&lt;&gt;R10,N23&lt;&gt;R9,N23&lt;&gt;R8),N23,IF(AND(O24&lt;&gt;0,N24&lt;&gt;R11,N24&lt;&gt;R10,N24&lt;&gt;R9,N24&lt;&gt;R8),N24,IF(AND(O25&lt;&gt;0,N25&lt;&gt;R11,N25&lt;&gt;R10,N25&lt;&gt;R9,N25&lt;&gt;R8),N25,IF(AND(O26&lt;&gt;0,N26&lt;&gt;R11,N26&lt;&gt;R10,N26&lt;&gt;R9,N26&lt;&gt;R8),N26,IF(AND(O27&lt;&gt;0,N27&lt;&gt;R11,N27&lt;&gt;R10,N27&lt;&gt;R9,N27&lt;&gt;R8),N27,IF(AND(O28&lt;&gt;0,N28&lt;&gt;R11,N28&lt;&gt;R10,N28&lt;&gt;R9,N28&lt;&gt;R8),N28,IF(AND(O29&lt;&gt;0,N29&lt;&gt;R11,N29&lt;&gt;R10,N29&lt;&gt;R9,N29&lt;&gt;R8),N29,IF(AND(O30&lt;&gt;0,N30&lt;&gt;R11,N30&lt;&gt;R10,N30&lt;&gt;R9,N30&lt;&gt;R8),N30,IF(AND(O31&lt;&gt;0,N31&lt;&gt;R11,N31&lt;&gt;R10,N31&lt;&gt;R9,N31&lt;&gt;R8),N31,IF(AND(O32&lt;&gt;0,N32&lt;&gt;R11,N32&lt;&gt;R10,N32&lt;&gt;R9,N32&lt;&gt;R8),N32,IF(AND(O33&lt;&gt;0,N33&lt;&gt;R11,N33&lt;&gt;R10,N33&lt;&gt;R9,N33&lt;&gt;R8),N33,IF(AND(O34&lt;&gt;0,N34&lt;&gt;R11,N34&lt;&gt;R10,N34&lt;&gt;R9,N34&lt;&gt;R8),N34,IF(AND(O35&lt;&gt;0,N35&lt;&gt;R11,N35&lt;&gt;R10,N35&lt;&gt;R9,N35&lt;&gt;R8),N35,IF(AND(O36&lt;&gt;0,N36&lt;&gt;R11,N36&lt;&gt;R10,N36&lt;&gt;R9,N36&lt;&gt;R8),N36,IF(AND(O37&lt;&gt;0,N37&lt;&gt;R11,N37&lt;&gt;R10,N37&lt;&gt;R9,N37&lt;&gt;R8),N37,""))))))))))))))))))))))))))</f>
        <v>0</v>
      </c>
      <c r="S12" s="1274">
        <f ca="1" t="shared" si="1">IF(ISNA(VLOOKUP(R12,$X$8:$Z$41,2,False))=True,"",VLOOKUP(R12,$X$8:$Z$41,2,False))</f>
        <v>0</v>
      </c>
      <c r="T12" s="1274">
        <f ca="1" t="shared" si="2">IF(ISNA(VLOOKUP(R12,$X$8:$Z$41,3,False))=True,"",VLOOKUP(R12,$X$8:$Z$41,3,False))</f>
        <v>0</v>
      </c>
      <c r="U12" s="1275">
        <f ca="1" t="shared" si="3">IF(ISNA(VLOOKUP(R12,$N$8:$O$37,2,False))=True,"",VLOOKUP(R12,$N$8:$O$37,2,False))</f>
        <v>0</v>
      </c>
      <c r="V12" s="2783">
        <f ca="1" t="shared" si="4">_xlfn.IFNA(IF(ISTEXT(VLOOKUP(R12,$B$8:$I$102,4,0)),VLOOKUP(R12,$B$8:$I$102,4,0),YEAR(VLOOKUP(R12,$B$8:$I$102,4,0))),"")</f>
        <v>0</v>
      </c>
      <c r="X12" s="834" t="s">
        <v>831</v>
      </c>
      <c r="Y12" s="1487" t="s">
        <v>944</v>
      </c>
      <c r="Z12" s="835" t="s">
        <v>1425</v>
      </c>
    </row>
    <row r="13" spans="1:26" ht="15" customHeight="1">
      <c r="A13" s="1224">
        <v>6</v>
      </c>
      <c r="B13" s="1504"/>
      <c r="C13" s="826"/>
      <c r="D13" s="826"/>
      <c r="E13" s="1455"/>
      <c r="F13" s="815"/>
      <c r="G13" s="232"/>
      <c r="H13" s="900"/>
      <c r="I13" s="827">
        <f t="shared" si="0">G13*H13</f>
        <v>0</v>
      </c>
      <c r="K13" s="1736" t="s">
        <v>832</v>
      </c>
      <c r="L13" s="1485" t="s">
        <v>1103</v>
      </c>
      <c r="M13" s="828" t="s">
        <v>834</v>
      </c>
      <c r="N13" s="1494" t="s">
        <v>833</v>
      </c>
      <c r="O13" s="829">
        <f ca="1">SUMIF($B$29:$I$38,N13,$I$29:$I$38)</f>
        <v>0</v>
      </c>
      <c r="P13" s="829"/>
      <c r="Q13" s="829"/>
      <c r="R13" s="1273">
        <f ca="1">IF(AND(O13&lt;&gt;0,N13&lt;&gt;R12,N13&lt;&gt;R11,N13&lt;&gt;R10,N13&lt;&gt;R9,N13&lt;&gt;R8),N13,IF(AND(O14&lt;&gt;0,N14&lt;&gt;R12,N14&lt;&gt;R11,N14&lt;&gt;R10,N14&lt;&gt;R9,N14&lt;&gt;R8),N14,IF(AND(O15&lt;&gt;0,N15&lt;&gt;R12,N15&lt;&gt;R11,N15&lt;&gt;R10,N15&lt;&gt;R9,N15&lt;&gt;R8),N15,IF(AND(O16&lt;&gt;0,N16&lt;&gt;R12,N16&lt;&gt;R11,N16&lt;&gt;R10,N16&lt;&gt;R9,N16&lt;&gt;R8),N16,IF(AND(O17&lt;&gt;0,N17&lt;&gt;R12,N17&lt;&gt;R11,N17&lt;&gt;R10,N17&lt;&gt;R9,N17&lt;&gt;R8),N17,IF(AND(O18&lt;&gt;0,N18&lt;&gt;R12,N18&lt;&gt;R11,N18&lt;&gt;R10,N18&lt;&gt;R9,N18&lt;&gt;R8),N18,IF(AND(O19&lt;&gt;0,N19&lt;&gt;R12,N19&lt;&gt;R11,N19&lt;&gt;R10,N19&lt;&gt;R9,N19&lt;&gt;R8),N19,IF(AND(O20&lt;&gt;0,N20&lt;&gt;R12,N20&lt;&gt;R11,N20&lt;&gt;R10,N20&lt;&gt;R9,N20&lt;&gt;R8),N20,IF(AND(O21&lt;&gt;0,N21&lt;&gt;R12,N21&lt;&gt;R11,N21&lt;&gt;R10,N21&lt;&gt;R9,N21&lt;&gt;R8),N21,IF(AND(O22&lt;&gt;0,N22&lt;&gt;R12,N22&lt;&gt;R11,N22&lt;&gt;R10,N22&lt;&gt;R9,N22&lt;&gt;R8),N22,IF(AND(O23&lt;&gt;0,N23&lt;&gt;R12,N23&lt;&gt;R11,N23&lt;&gt;R10,N23&lt;&gt;R9,N20&lt;&gt;R8),N23,IF(AND(O24&lt;&gt;0,N24&lt;&gt;R12,N24&lt;&gt;R11,N24&lt;&gt;R10,N24&lt;&gt;R9,N24&lt;&gt;R8),N24,IF(AND(O25&lt;&gt;0,N25&lt;&gt;R12,N25&lt;&gt;R11,N25&lt;&gt;R10,N25&lt;&gt;R9,N25&lt;&gt;R8),N25,IF(AND(O26&lt;&gt;0,N26&lt;&gt;R12,N26&lt;&gt;R11,N26&lt;&gt;R10,N26&lt;&gt;R9,N26&lt;&gt;R8),N26,IF(AND(O27&lt;&gt;0,N27&lt;&gt;R12,N27&lt;&gt;R11,N27&lt;&gt;R10,N27&lt;&gt;R9,N27&lt;&gt;R8),N27,IF(AND(O28&lt;&gt;0,N28&lt;&gt;R12,N28&lt;&gt;R11,N28&lt;&gt;R10,N28&lt;&gt;R9,N28&lt;&gt;R8),N28,IF(AND(O29&lt;&gt;0,N29&lt;&gt;R12,N29&lt;&gt;R11,N29&lt;&gt;R10,N29&lt;&gt;R9,N29&lt;&gt;R8),N29,IF(AND(O30&lt;&gt;0,N30&lt;&gt;R12,N30&lt;&gt;R11,N30&lt;&gt;R10,N30&lt;&gt;R9,N30&lt;&gt;R8),N30,IF(AND(O31&lt;&gt;0,N31&lt;&gt;R12,N31&lt;&gt;R11,N31&lt;&gt;R10,N31&lt;&gt;R9,N31&lt;&gt;R8),N31,IF(AND(O32&lt;&gt;0,N32&lt;&gt;R12,N32&lt;&gt;R11,N32&lt;&gt;R10,N32&lt;&gt;R9,N32&lt;&gt;R8),N32,IF(AND(O33&lt;&gt;0,N33&lt;&gt;R12,N33&lt;&gt;R11,N33&lt;&gt;R10,N33&lt;&gt;R9,N33&lt;&gt;R8),N33,IF(AND(O34&lt;&gt;0,N34&lt;&gt;R12,N34&lt;&gt;R11,N34&lt;&gt;R10,N34&lt;&gt;R9,N34&lt;&gt;R8),N34,IF(AND(O35&lt;&gt;0,N35&lt;&gt;R12,N35&lt;&gt;R11,N35&lt;&gt;R10,N35&lt;&gt;R9,N35&lt;&gt;R8),N35,IF(AND(O36&lt;&gt;0,N36&lt;&gt;R12,N36&lt;&gt;R11,N36&lt;&gt;R10,N36&lt;&gt;R9,N36&lt;&gt;R8),N36,IF(AND(O37&lt;&gt;0,N37&lt;&gt;R12,N37&lt;&gt;R11,N37&lt;&gt;R10,N37&lt;&gt;R9,N37&lt;&gt;R8),N37,"")))))))))))))))))))))))))</f>
        <v>0</v>
      </c>
      <c r="S13" s="1274">
        <f ca="1" t="shared" si="1">IF(ISNA(VLOOKUP(R13,$X$8:$Z$41,2,False))=True,"",VLOOKUP(R13,$X$8:$Z$41,2,False))</f>
        <v>0</v>
      </c>
      <c r="T13" s="1274">
        <f ca="1" t="shared" si="2">IF(ISNA(VLOOKUP(R13,$X$8:$Z$41,3,False))=True,"",VLOOKUP(R13,$X$8:$Z$41,3,False))</f>
        <v>0</v>
      </c>
      <c r="U13" s="1275">
        <f ca="1" t="shared" si="3">IF(ISNA(VLOOKUP(R13,$N$8:$O$37,2,False))=True,"",VLOOKUP(R13,$N$8:$O$37,2,False))</f>
        <v>0</v>
      </c>
      <c r="V13" s="2783">
        <f ca="1" t="shared" si="4">_xlfn.IFNA(IF(ISTEXT(VLOOKUP(R13,$B$8:$I$102,4,0)),VLOOKUP(R13,$B$8:$I$102,4,0),YEAR(VLOOKUP(R13,$B$8:$I$102,4,0))),"")</f>
        <v>0</v>
      </c>
      <c r="X13" s="836" t="s">
        <v>833</v>
      </c>
      <c r="Y13" s="1485" t="s">
        <v>1103</v>
      </c>
      <c r="Z13" s="832" t="s">
        <v>834</v>
      </c>
    </row>
    <row r="14" spans="1:26">
      <c r="A14" s="1224">
        <v>7</v>
      </c>
      <c r="B14" s="1504"/>
      <c r="C14" s="826"/>
      <c r="D14" s="826"/>
      <c r="E14" s="1455"/>
      <c r="F14" s="815"/>
      <c r="G14" s="232"/>
      <c r="H14" s="900"/>
      <c r="I14" s="827">
        <f t="shared" si="0">G14*H14</f>
        <v>0</v>
      </c>
      <c r="K14" s="1736"/>
      <c r="L14" s="1487" t="s">
        <v>960</v>
      </c>
      <c r="M14" s="833" t="s">
        <v>1426</v>
      </c>
      <c r="N14" s="1493" t="s">
        <v>835</v>
      </c>
      <c r="O14" s="829">
        <f ca="1">SUMIF($B$29:$I$38,N14,$I$29:$I$38)</f>
        <v>0</v>
      </c>
      <c r="P14" s="829"/>
      <c r="Q14" s="829"/>
      <c r="R14" s="1273">
        <f ca="1">IF(AND(O14&lt;&gt;0,N14&lt;&gt;R13,N14&lt;&gt;R12,N14&lt;&gt;R11,N14&lt;&gt;R10,N14&lt;&gt;R9,N14&lt;&gt;R8),N14,IF(AND(O15&lt;&gt;0,N15&lt;&gt;R13,N15&lt;&gt;R12,N15&lt;&gt;R11,N15&lt;&gt;R10,N15&lt;&gt;R9,N15&lt;&gt;R8),N15,IF(AND(O16&lt;&gt;0,N16&lt;&gt;R13,N16&lt;&gt;R12,N16&lt;&gt;R11,N16&lt;&gt;R10,N16&lt;&gt;R9,N16&lt;&gt;R8),N16,IF(AND(O17&lt;&gt;0,N17&lt;&gt;R13,N17&lt;&gt;R12,N17&lt;&gt;R11,N17&lt;&gt;R10,N17&lt;&gt;R9,N17&lt;&gt;R8),N17,IF(AND(O18&lt;&gt;0,N18&lt;&gt;R13,N18&lt;&gt;R12,N18&lt;&gt;R11,N18&lt;&gt;R10,N18&lt;&gt;R9,N18&lt;&gt;R8),N18,IF(AND(O19&lt;&gt;0,N19&lt;&gt;R13,N19&lt;&gt;R12,N19&lt;&gt;R11,N19&lt;&gt;R10,N19&lt;&gt;R9,N19&lt;&gt;R8),N19,IF(AND(O20&lt;&gt;0,N20&lt;&gt;R13,N20&lt;&gt;R12,N20&lt;&gt;R11,N20&lt;&gt;R10,N20&lt;&gt;R9,N20&lt;&gt;R8),N20,IF(AND(O21&lt;&gt;0,N21&lt;&gt;R13,N21&lt;&gt;R12,N21&lt;&gt;R11,N21&lt;&gt;R10,N21&lt;&gt;R9,N21&lt;&gt;R8),N21,IF(AND(O22&lt;&gt;0,N22&lt;&gt;R13,N22&lt;&gt;R12,N22&lt;&gt;R11,N22&lt;&gt;R10,N22&lt;&gt;R9,N21&lt;&gt;R8),N22,IF(AND(O23&lt;&gt;0,N23&lt;&gt;R13,N23&lt;&gt;R12,N23&lt;&gt;R11,N23&lt;&gt;R10,N23&lt;&gt;R9,N23&lt;&gt;R8),N23,IF(AND(O24&lt;&gt;0,N24&lt;&gt;R13,N24&lt;&gt;R12,N24&lt;&gt;R11,N24&lt;&gt;R10,N24&lt;&gt;R9,N24&lt;&gt;R8),N24,IF(AND(O25&lt;&gt;0,N25&lt;&gt;R13,N25&lt;&gt;R12,N25&lt;&gt;R11,N25&lt;&gt;R10,N25&lt;&gt;R9,N25&lt;&gt;R8),N25,IF(AND(O26&lt;&gt;0,N26&lt;&gt;R13,N26&lt;&gt;R12,N26&lt;&gt;R11,N26&lt;&gt;R10,N26&lt;&gt;R9,N26&lt;&gt;R8),N26,IF(AND(O27&lt;&gt;0,N27&lt;&gt;R13,N27&lt;&gt;R12,N27&lt;&gt;R11,N27&lt;&gt;R10,N27&lt;&gt;R9,N27&lt;&gt;R8),N27,IF(AND(O28&lt;&gt;0,N28&lt;&gt;R13,N28&lt;&gt;R12,N28&lt;&gt;R11,N28&lt;&gt;R10,N28&lt;&gt;R9,N28&lt;&gt;R8),N28,IF(AND(O29&lt;&gt;0,N29&lt;&gt;R13,N29&lt;&gt;R12,N29&lt;&gt;R11,N29&lt;&gt;R10,N29&lt;&gt;R9,N29&lt;&gt;R8),N29,IF(AND(O30&lt;&gt;0,N30&lt;&gt;R13,N30&lt;&gt;R12,N30&lt;&gt;R11,N30&lt;&gt;R10,N30&lt;&gt;R9,N30&lt;&gt;R8),N30,IF(AND(O31&lt;&gt;0,N31&lt;&gt;R13,N31&lt;&gt;R12,N31&lt;&gt;R11,N31&lt;&gt;R10,N31&lt;&gt;R9,N31&lt;&gt;R8),N31,IF(AND(O32&lt;&gt;0,N32&lt;&gt;R13,N32&lt;&gt;R12,N32&lt;&gt;R11,N32&lt;&gt;R10,N32&lt;&gt;R9,N32&lt;&gt;R8),N32,IF(AND(O33&lt;&gt;0,N33&lt;&gt;R13,N33&lt;&gt;R12,N33&lt;&gt;R11,N33&lt;&gt;R10,N33&lt;&gt;R9,N33&lt;&gt;R8),N33,IF(AND(O34&lt;&gt;0,N34&lt;&gt;R13,N34&lt;&gt;R12,N34&lt;&gt;R11,N34&lt;&gt;R10,N34&lt;&gt;R9,N34&lt;&gt;R8),N34,IF(AND(O35&lt;&gt;0,N35&lt;&gt;R13,N35&lt;&gt;R12,N35&lt;&gt;R11,N35&lt;&gt;R10,N35&lt;&gt;R9,N35&lt;&gt;R8),N35,IF(AND(O36&lt;&gt;0,N36&lt;&gt;R13,N36&lt;&gt;R12,N36&lt;&gt;R11,N36&lt;&gt;R10,N36&lt;&gt;R9,N36&lt;&gt;R8),N36,IF(AND(O37&lt;&gt;0,N37&lt;&gt;R13,N37&lt;&gt;R12,N37&lt;&gt;R11,N37&lt;&gt;R10,N37&lt;&gt;R9,N37&lt;&gt;R8),N37,""))))))))))))))))))))))))</f>
        <v>0</v>
      </c>
      <c r="S14" s="1274">
        <f ca="1" t="shared" si="1">IF(ISNA(VLOOKUP(R14,$X$8:$Z$41,2,False))=True,"",VLOOKUP(R14,$X$8:$Z$41,2,False))</f>
        <v>0</v>
      </c>
      <c r="T14" s="1274">
        <f ca="1" t="shared" si="2">IF(ISNA(VLOOKUP(R14,$X$8:$Z$41,3,False))=True,"",VLOOKUP(R14,$X$8:$Z$41,3,False))</f>
        <v>0</v>
      </c>
      <c r="U14" s="1275">
        <f ca="1" t="shared" si="3">IF(ISNA(VLOOKUP(R14,$N$8:$O$37,2,False))=True,"",VLOOKUP(R14,$N$8:$O$37,2,False))</f>
        <v>0</v>
      </c>
      <c r="V14" s="2783">
        <f ca="1" t="shared" si="4">_xlfn.IFNA(IF(ISTEXT(VLOOKUP(R14,$B$8:$I$102,4,0)),VLOOKUP(R14,$B$8:$I$102,4,0),YEAR(VLOOKUP(R14,$B$8:$I$102,4,0))),"")</f>
        <v>0</v>
      </c>
      <c r="X14" s="834" t="s">
        <v>835</v>
      </c>
      <c r="Y14" s="1487" t="s">
        <v>960</v>
      </c>
      <c r="Z14" s="835" t="s">
        <v>1426</v>
      </c>
    </row>
    <row r="15" spans="1:26" ht="15" customHeight="1">
      <c r="A15" s="1224">
        <v>8</v>
      </c>
      <c r="B15" s="1504"/>
      <c r="C15" s="826"/>
      <c r="D15" s="826"/>
      <c r="E15" s="1455"/>
      <c r="F15" s="815"/>
      <c r="G15" s="232"/>
      <c r="H15" s="900"/>
      <c r="I15" s="827">
        <f t="shared" si="0">G15*H15</f>
        <v>0</v>
      </c>
      <c r="K15" s="1736" t="s">
        <v>836</v>
      </c>
      <c r="L15" s="1488" t="s">
        <v>838</v>
      </c>
      <c r="M15" s="830" t="s">
        <v>1427</v>
      </c>
      <c r="N15" s="1494" t="s">
        <v>837</v>
      </c>
      <c r="O15" s="829">
        <f ca="1">SUMIF($B$45:$I$54,N15,$I$45:$I$54)</f>
        <v>0</v>
      </c>
      <c r="P15" s="829"/>
      <c r="Q15" s="829"/>
      <c r="R15" s="1273">
        <f ca="1">IF(AND(O15&lt;&gt;0,N15&lt;&gt;R14,N15&lt;&gt;R13,N15&lt;&gt;R12,N15&lt;&gt;R11,N15&lt;&gt;R10,N15&lt;&gt;R9,N15&lt;&gt;R8),N15,IF(AND(O16&lt;&gt;0,N16&lt;&gt;R14,N16&lt;&gt;R13,N16&lt;&gt;R12,N16&lt;&gt;R11,N16&lt;&gt;R10,N16&lt;&gt;R9,N16&lt;&gt;R8),N16,IF(AND(O17&lt;&gt;0,N17&lt;&gt;R14,N17&lt;&gt;R13,N17&lt;&gt;R12,N17&lt;&gt;R11,N17&lt;&gt;R10,N17&lt;&gt;R9,N17&lt;&gt;R8),N17,IF(AND(O18&lt;&gt;0,N18&lt;&gt;R14,N18&lt;&gt;R13,N18&lt;&gt;R12,N18&lt;&gt;R11,N18&lt;&gt;R10,N18&lt;&gt;R9,N18&lt;&gt;R8),N18,IF(AND(O19&lt;&gt;0,N19&lt;&gt;R14,N19&lt;&gt;R13,N19&lt;&gt;R12,N19&lt;&gt;R11,N19&lt;&gt;R10,N19&lt;&gt;R9,N19&lt;&gt;R8),N19,IF(AND(O20&lt;&gt;0,N20&lt;&gt;R14,N20&lt;&gt;R13,N20&lt;&gt;R12,N20&lt;&gt;R11,N20&lt;&gt;R10,N20&lt;&gt;R9,N20&lt;&gt;R8),N20,IF(AND(O21&lt;&gt;0,N21&lt;&gt;R14,N21&lt;&gt;R13,N21&lt;&gt;R12,N21&lt;&gt;R11,N21&lt;&gt;R10,N21&lt;&gt;R9,N21&lt;&gt;R8),N21,IF(AND(O22&lt;&gt;0,N22&lt;&gt;R14,N22&lt;&gt;R13,N22&lt;&gt;R12,N22&lt;&gt;R11,N22&lt;&gt;R10,N22&lt;&gt;R9,N22&lt;&gt;R8),N22,IF(AND(O23&lt;&gt;0,N23&lt;&gt;R14,N23&lt;&gt;R13,N23&lt;&gt;R12,N23&lt;&gt;R11,N23&lt;&gt;R10,N23&lt;&gt;R9,N23&lt;&gt;R8),N23,IF(AND(O24&lt;&gt;0,N24&lt;&gt;R14,N24&lt;&gt;R13,N24&lt;&gt;R12,N24&lt;&gt;R11,N24&lt;&gt;R10,N24&lt;&gt;R9,N24&lt;&gt;R8),N24,IF(AND(O25&lt;&gt;0,N25&lt;&gt;R14,N25&lt;&gt;R13,N25&lt;&gt;R12,N25&lt;&gt;R11,N25&lt;&gt;R10,N25&lt;&gt;R9,N25&lt;&gt;R8),N25,IF(AND(O26&lt;&gt;0,N26&lt;&gt;R14,N26&lt;&gt;R13,N26&lt;&gt;R12,N26&lt;&gt;R11,N26&lt;&gt;R10,N26&lt;&gt;R9,N26&lt;&gt;R8),N26,IF(AND(O27&lt;&gt;0,N27&lt;&gt;R14,N27&lt;&gt;R13,N27&lt;&gt;R12,N27&lt;&gt;R11,N27&lt;&gt;R10,N27&lt;&gt;R9,N27&lt;&gt;R8),N27,IF(AND(O28&lt;&gt;0,N28&lt;&gt;R14,N28&lt;&gt;R13,N28&lt;&gt;R12,N28&lt;&gt;R11,N28&lt;&gt;R10,N28&lt;&gt;R9,N28&lt;&gt;R8),N28,IF(AND(O29&lt;&gt;0,N29&lt;&gt;R14,N29&lt;&gt;R13,N29&lt;&gt;R12,N29&lt;&gt;R11,N29&lt;&gt;R10,N29&lt;&gt;R9,N29&lt;&gt;R8),N29,IF(AND(O30&lt;&gt;0,N30&lt;&gt;R14,N30&lt;&gt;R13,N30&lt;&gt;R12,N30&lt;&gt;R11,N30&lt;&gt;R10,N30&lt;&gt;R9,N30&lt;&gt;R8),N30,IF(AND(O31&lt;&gt;0,N31&lt;&gt;R14,N31&lt;&gt;R13,N31&lt;&gt;R12,N31&lt;&gt;R11,N31&lt;&gt;R10,N31&lt;&gt;R9,N31&lt;&gt;R8),N31,IF(AND(O32&lt;&gt;0,N32&lt;&gt;R14,N32&lt;&gt;R13,N32&lt;&gt;R12,N32&lt;&gt;R11,N32&lt;&gt;R10,N32&lt;&gt;R9,N32&lt;&gt;R8),N32,IF(AND(O33&lt;&gt;0,N33&lt;&gt;R14,N33&lt;&gt;R13,N33&lt;&gt;R12,N33&lt;&gt;R11,N33&lt;&gt;R10,N33&lt;&gt;R9,N33&lt;&gt;R8),N33,IF(AND(O34&lt;&gt;0,N34&lt;&gt;R14,N34&lt;&gt;R13,N34&lt;&gt;R12,N34&lt;&gt;R11,N34&lt;&gt;R10,N34&lt;&gt;R9,N34&lt;&gt;R8),N34,IF(AND(O35&lt;&gt;0,N35&lt;&gt;R14,N35&lt;&gt;R13,N35&lt;&gt;R12,N35&lt;&gt;R11,N35&lt;&gt;R10,N35&lt;&gt;R9,N35&lt;&gt;R8),N35,IF(AND(O36&lt;&gt;0,N36&lt;&gt;R14,N36&lt;&gt;R13,N36&lt;&gt;R12,N36&lt;&gt;R11,N36&lt;&gt;R10,N36&lt;&gt;R9,N36&lt;&gt;R8),N36,IF(AND(O37&lt;&gt;0,N37&lt;&gt;R14,N37&lt;&gt;R13,N37&lt;&gt;R12,N37&lt;&gt;R11,N37&lt;&gt;R10,N37&lt;&gt;R9,N37&lt;&gt;R8),N37,"")))))))))))))))))))))))</f>
        <v>0</v>
      </c>
      <c r="S15" s="1274">
        <f ca="1" t="shared" si="1">IF(ISNA(VLOOKUP(R15,$X$8:$Z$41,2,False))=True,"",VLOOKUP(R15,$X$8:$Z$41,2,False))</f>
        <v>0</v>
      </c>
      <c r="T15" s="1274">
        <f ca="1" t="shared" si="2">IF(ISNA(VLOOKUP(R15,$X$8:$Z$41,3,False))=True,"",VLOOKUP(R15,$X$8:$Z$41,3,False))</f>
        <v>0</v>
      </c>
      <c r="U15" s="1275">
        <f ca="1" t="shared" si="3">IF(ISNA(VLOOKUP(R15,$N$8:$O$37,2,False))=True,"",VLOOKUP(R15,$N$8:$O$37,2,False))</f>
        <v>0</v>
      </c>
      <c r="V15" s="2783">
        <f ca="1" t="shared" si="4">_xlfn.IFNA(IF(ISTEXT(VLOOKUP(R15,$B$8:$I$102,4,0)),VLOOKUP(R15,$B$8:$I$102,4,0),YEAR(VLOOKUP(R15,$B$8:$I$102,4,0))),"")</f>
        <v>0</v>
      </c>
      <c r="X15" s="824" t="s">
        <v>837</v>
      </c>
      <c r="Y15" s="1488" t="s">
        <v>838</v>
      </c>
      <c r="Z15" s="837" t="s">
        <v>1427</v>
      </c>
    </row>
    <row r="16" spans="1:26" ht="15" customHeight="1">
      <c r="A16" s="1224">
        <v>9</v>
      </c>
      <c r="B16" s="1504"/>
      <c r="C16" s="826"/>
      <c r="D16" s="826"/>
      <c r="E16" s="1455"/>
      <c r="F16" s="815"/>
      <c r="G16" s="232"/>
      <c r="H16" s="900"/>
      <c r="I16" s="827">
        <f t="shared" si="0">G16*H16</f>
        <v>0</v>
      </c>
      <c r="K16" s="1736"/>
      <c r="L16" s="1488" t="s">
        <v>945</v>
      </c>
      <c r="M16" s="830" t="s">
        <v>840</v>
      </c>
      <c r="N16" s="1494" t="s">
        <v>839</v>
      </c>
      <c r="O16" s="829">
        <f ca="1" t="shared" si="5" ref="O16:O23">SUMIF($B$45:$I$54,N16,$I$45:$I$54)</f>
        <v>0</v>
      </c>
      <c r="P16" s="829"/>
      <c r="Q16" s="829"/>
      <c r="R16" s="1273">
        <f ca="1">IF(AND(O16&lt;&gt;0,N16&lt;&gt;R15,N16&lt;&gt;R14,N16&lt;&gt;R13,N16&lt;&gt;R12,N16&lt;&gt;R11,N16&lt;&gt;R10,N16&lt;&gt;R9,N16&lt;&gt;R8),N16,IF(AND(O17&lt;&gt;0,N17&lt;&gt;R15,N17&lt;&gt;R14,N17&lt;&gt;R13,N17&lt;&gt;R12,N17&lt;&gt;R11,N17&lt;&gt;R10,N17&lt;&gt;R9,N17&lt;&gt;R8),N17,IF(AND(O18&lt;&gt;0,N18&lt;&gt;R15,N18&lt;&gt;R14,N18&lt;&gt;R13,N18&lt;&gt;R12,N18&lt;&gt;R11,N18&lt;&gt;R10,N18&lt;&gt;R9,N18&lt;&gt;R8),N18,IF(AND(O19&lt;&gt;0,N19&lt;&gt;R15,N19&lt;&gt;R14,N19&lt;&gt;R13,N19&lt;&gt;R12,N19&lt;&gt;R11,N19&lt;&gt;R10,N19&lt;&gt;R9,N19&lt;&gt;R8),N19,IF(AND(O20&lt;&gt;0,N20&lt;&gt;R15,N20&lt;&gt;R14,N20&lt;&gt;R13,N20&lt;&gt;R12,N20&lt;&gt;R11,N20&lt;&gt;R10,N20&lt;&gt;R9,N20&lt;&gt;R8),N20,IF(AND(O21&lt;&gt;0,N21&lt;&gt;R15,N21&lt;&gt;R14,N21&lt;&gt;R13,N21&lt;&gt;R12,N21&lt;&gt;R11,N21&lt;&gt;R10,N21&lt;&gt;R9,N21&lt;&gt;R8),N21,IF(AND(O22&lt;&gt;0,N22&lt;&gt;R15,N22&lt;&gt;R14,N22&lt;&gt;R13,N22&lt;&gt;R12,N22&lt;&gt;R11,N22&lt;&gt;R10,N22&lt;&gt;R9,N22&lt;&gt;R8),N22,IF(AND(O23&lt;&gt;0,N23&lt;&gt;R15,N23&lt;&gt;R14,N23&lt;&gt;R13,N23&lt;&gt;R12,N23&lt;&gt;R11,N23&lt;&gt;R10,N23&lt;&gt;R9,N23&lt;&gt;R8),N23,IF(AND(O24&lt;&gt;0,N24&lt;&gt;R15,N24&lt;&gt;R14,N24&lt;&gt;R13,N24&lt;&gt;R12,N24&lt;&gt;R11,N24&lt;&gt;R10,N24&lt;&gt;R9,N24&lt;&gt;R8),N24,IF(AND(O25&lt;&gt;0,N25&lt;&gt;R15,N25&lt;&gt;R14,N25&lt;&gt;R13,N25&lt;&gt;R12,N25&lt;&gt;R11,N25&lt;&gt;R10,N25&lt;&gt;R9,N25&lt;&gt;R8),N25,IF(AND(O26&lt;&gt;0,N26&lt;&gt;R15,N26&lt;&gt;R14,N26&lt;&gt;R13,N26&lt;&gt;R12,N26&lt;&gt;R11,N26&lt;&gt;R10,N26&lt;&gt;R9,N26&lt;&gt;R8),N26,IF(AND(O27&lt;&gt;0,N27&lt;&gt;R15,N27&lt;&gt;R14,N27&lt;&gt;R13,N27&lt;&gt;R12,N27&lt;&gt;R11,N27&lt;&gt;R10,N27&lt;&gt;R9,N27&lt;&gt;R8),N27,IF(AND(O28&lt;&gt;0,N28&lt;&gt;R15,N28&lt;&gt;R14,N28&lt;&gt;R13,N28&lt;&gt;R12,N28&lt;&gt;R11,N28&lt;&gt;R10,N28&lt;&gt;R9,N28&lt;&gt;R8),N28,IF(AND(O29&lt;&gt;0,N29&lt;&gt;R15,N29&lt;&gt;R14,N29&lt;&gt;R13,N29&lt;&gt;R12,N29&lt;&gt;R11,N29&lt;&gt;R10,N29&lt;&gt;R9,N29&lt;&gt;R8),N29,IF(AND(O30&lt;&gt;0,N30&lt;&gt;R15,N30&lt;&gt;R14,N30&lt;&gt;R13,N30&lt;&gt;R12,N30&lt;&gt;R11,N30&lt;&gt;R10,N30&lt;&gt;R9,N30&lt;&gt;R8),N30,IF(AND(O31&lt;&gt;0,N31&lt;&gt;R15,N31&lt;&gt;R14,N31&lt;&gt;R13,N31&lt;&gt;R12,N31&lt;&gt;R11,N31&lt;&gt;R10,N31&lt;&gt;R9,N31&lt;&gt;R8),N31,IF(AND(O32&lt;&gt;0,N32&lt;&gt;R15,N32&lt;&gt;R14,N32&lt;&gt;R13,N32&lt;&gt;R12,N32&lt;&gt;R11,N32&lt;&gt;R10,N32&lt;&gt;R9,N32&lt;&gt;R8),N32,IF(AND(O33&lt;&gt;0,N33&lt;&gt;R15,N33&lt;&gt;R14,N33&lt;&gt;R13,N33&lt;&gt;R12,N33&lt;&gt;R11,N33&lt;&gt;R10,N33&lt;&gt;R9,N33&lt;&gt;R8),N33,IF(AND(O34&lt;&gt;0,N34&lt;&gt;R15,N34&lt;&gt;R14,N34&lt;&gt;R13,N34&lt;&gt;R12,N34&lt;&gt;R11,N34&lt;&gt;R10,N34&lt;&gt;R9,N34&lt;&gt;R8),N34,IF(AND(O35&lt;&gt;0,N35&lt;&gt;R15,N35&lt;&gt;R14,N35&lt;&gt;R13,N35&lt;&gt;R12,N35&lt;&gt;R11,N35&lt;&gt;R10,N35&lt;&gt;R9,N35&lt;&gt;R8),N35,IF(AND(O36&lt;&gt;0,N36&lt;&gt;R15,N36&lt;&gt;R14,N36&lt;&gt;R13,N36&lt;&gt;R12,N36&lt;&gt;R11,N36&lt;&gt;R10,N36&lt;&gt;R9,N36&lt;&gt;R8),N36,IF(AND(O37&lt;&gt;0,N37&lt;&gt;R15,N37&lt;&gt;R14,N37&lt;&gt;R13,N37&lt;&gt;R12,N37&lt;&gt;R11,N37&lt;&gt;R10,N37&lt;&gt;R9,N37&lt;&gt;R8),N37,""))))))))))))))))))))))</f>
        <v>0</v>
      </c>
      <c r="S16" s="1274">
        <f ca="1" t="shared" si="1">IF(ISNA(VLOOKUP(R16,$X$8:$Z$41,2,False))=True,"",VLOOKUP(R16,$X$8:$Z$41,2,False))</f>
        <v>0</v>
      </c>
      <c r="T16" s="1274">
        <f ca="1" t="shared" si="2">IF(ISNA(VLOOKUP(R16,$X$8:$Z$41,3,False))=True,"",VLOOKUP(R16,$X$8:$Z$41,3,False))</f>
        <v>0</v>
      </c>
      <c r="U16" s="1275">
        <f ca="1" t="shared" si="3">IF(ISNA(VLOOKUP(R16,$N$8:$O$37,2,False))=True,"",VLOOKUP(R16,$N$8:$O$37,2,False))</f>
        <v>0</v>
      </c>
      <c r="V16" s="2783">
        <f ca="1" t="shared" si="4">_xlfn.IFNA(IF(ISTEXT(VLOOKUP(R16,$B$8:$I$102,4,0)),VLOOKUP(R16,$B$8:$I$102,4,0),YEAR(VLOOKUP(R16,$B$8:$I$102,4,0))),"")</f>
        <v>0</v>
      </c>
      <c r="X16" s="824" t="s">
        <v>839</v>
      </c>
      <c r="Y16" s="1488" t="s">
        <v>945</v>
      </c>
      <c r="Z16" s="837" t="s">
        <v>840</v>
      </c>
    </row>
    <row r="17" spans="1:26" ht="15" customHeight="1">
      <c r="A17" s="1224">
        <v>10</v>
      </c>
      <c r="B17" s="1504"/>
      <c r="C17" s="826"/>
      <c r="D17" s="826"/>
      <c r="E17" s="1455"/>
      <c r="F17" s="815"/>
      <c r="G17" s="232"/>
      <c r="H17" s="900"/>
      <c r="I17" s="827">
        <f t="shared" si="0">G17*H17</f>
        <v>0</v>
      </c>
      <c r="K17" s="1736"/>
      <c r="L17" s="1488" t="s">
        <v>946</v>
      </c>
      <c r="M17" s="830" t="s">
        <v>842</v>
      </c>
      <c r="N17" s="1494" t="s">
        <v>841</v>
      </c>
      <c r="O17" s="829">
        <f ca="1" t="shared" si="5">SUMIF($B$45:$I$54,N17,$I$45:$I$54)</f>
        <v>0</v>
      </c>
      <c r="P17" s="829"/>
      <c r="Q17" s="829"/>
      <c r="R17" s="1273">
        <f ca="1">IF(AND(O17&lt;&gt;0,N17&lt;&gt;R16,N17&lt;&gt;R15,N17&lt;&gt;R14,N17&lt;&gt;R13,N17&lt;&gt;R12,N17&lt;&gt;R11,N17&lt;&gt;R10,N17&lt;&gt;R9,N17&lt;&gt;R8),N17,IF(AND(O18&lt;&gt;0,N18&lt;&gt;R16,N18&lt;&gt;R15,N18&lt;&gt;R14,N18&lt;&gt;R13,N18&lt;&gt;R12,N18&lt;&gt;R11,N18&lt;&gt;R10,N18&lt;&gt;R9,N18&lt;&gt;QM8),N18,IF(AND(O19&lt;&gt;0,N19&lt;&gt;R16,N19&lt;&gt;R15,N19&lt;&gt;R14,N19&lt;&gt;R13,N19&lt;&gt;R12,N19&lt;&gt;R11,N19&lt;&gt;R10,N19&lt;&gt;R9,N19&lt;&gt;R8),N19,IF(AND(O20&lt;&gt;0,N20&lt;&gt;R16,N20&lt;&gt;R15,N20&lt;&gt;R14,N20&lt;&gt;R13,N20&lt;&gt;R12,N20&lt;&gt;R11,N20&lt;&gt;R10,N20&lt;&gt;R9,N20&lt;&gt;R8),N20,IF(AND(O21&lt;&gt;0,N21&lt;&gt;R16,N21&lt;&gt;R15,N21&lt;&gt;R14,N21&lt;&gt;R13,N21&lt;&gt;R12,N21&lt;&gt;R11,N21&lt;&gt;R10,N21&lt;&gt;R9,N21&lt;&gt;R8),N21,IF(AND(O22&lt;&gt;0,N22&lt;&gt;R16,N22&lt;&gt;R15,N22&lt;&gt;R14,N22&lt;&gt;R13,N22&lt;&gt;R12,N22&lt;&gt;R11,N22&lt;&gt;R10,N22&lt;&gt;R9,N22&lt;&gt;R8),N22,IF(AND(O23&lt;&gt;0,N23&lt;&gt;R16,N23&lt;&gt;R15,N23&lt;&gt;R14,N23&lt;&gt;R13,N23&lt;&gt;R12,N23&lt;&gt;R11,N23&lt;&gt;R10,N23&lt;&gt;R9,N23&lt;&gt;R8),N23,IF(AND(O24&lt;&gt;0,N24&lt;&gt;R16,N24&lt;&gt;R15,N24&lt;&gt;R14,N24&lt;&gt;R13,N24&lt;&gt;R12,N24&lt;&gt;R11,N24&lt;&gt;R10,N24&lt;&gt;R9,N24&lt;&gt;R8),N24,IF(AND(O25&lt;&gt;0,N25&lt;&gt;R16,N25&lt;&gt;R15,N25&lt;&gt;R14,N25&lt;&gt;R13,N25&lt;&gt;R12,N25&lt;&gt;R11,N25&lt;&gt;R10,N25&lt;&gt;R9,N25&lt;&gt;R8),N25,IF(AND(O26&lt;&gt;0,N26&lt;&gt;R16,N26&lt;&gt;R15,N26&lt;&gt;R14,N26&lt;&gt;R13,N26&lt;&gt;R12,N26&lt;&gt;R11,N26&lt;&gt;R10,N26&lt;&gt;R9,N26&lt;&gt;R8),N26,IF(AND(O27&lt;&gt;0,N27&lt;&gt;R16,N27&lt;&gt;R15,N27&lt;&gt;R14,N27&lt;&gt;R13,N27&lt;&gt;R12,N27&lt;&gt;R11,N27&lt;&gt;R10,N27&lt;&gt;R9,N27&lt;&gt;R8),N27,IF(AND(O28&lt;&gt;0,N28&lt;&gt;R16,N28&lt;&gt;R15,N28&lt;&gt;R14,N28&lt;&gt;R13,N28&lt;&gt;R12,N28&lt;&gt;R11,N28&lt;&gt;R10,N28&lt;&gt;R9,N28&lt;&gt;R8),N28,IF(AND(O29&lt;&gt;0,N29&lt;&gt;R16,N29&lt;&gt;R15,N29&lt;&gt;R14,N29&lt;&gt;R13,N29&lt;&gt;R12,N29&lt;&gt;R11,N29&lt;&gt;R10,N29&lt;&gt;R9,N29&lt;&gt;R8),N29,IF(AND(O30&lt;&gt;0,N30&lt;&gt;R16,N30&lt;&gt;R15,N30&lt;&gt;R14,N30&lt;&gt;R13,N30&lt;&gt;R12,N30&lt;&gt;R11,N30&lt;&gt;R10,N30&lt;&gt;R9,N30&lt;&gt;R8),N30,IF(AND(O31&lt;&gt;0,N31&lt;&gt;R16,N31&lt;&gt;R15,N31&lt;&gt;R14,N31&lt;&gt;R13,N31&lt;&gt;R12,N31&lt;&gt;R11,N31&lt;&gt;R10,N31&lt;&gt;R9,N31&lt;&gt;R8),N31,IF(AND(O32&lt;&gt;0,N32&lt;&gt;R16,N32&lt;&gt;R15,N32&lt;&gt;R14,N32&lt;&gt;R13,N32&lt;&gt;R12,N32&lt;&gt;R11,N32&lt;&gt;R10,N32&lt;&gt;R9,N32&lt;&gt;R8),N32,IF(AND(O33&lt;&gt;0,N33&lt;&gt;R16,N33&lt;&gt;R15,N33&lt;&gt;R14,N33&lt;&gt;R13,N33&lt;&gt;R12,N33&lt;&gt;R11,N33&lt;&gt;R10,N33&lt;&gt;R9,N33&lt;&gt;R8),N33,IF(AND(O34&lt;&gt;0,N34&lt;&gt;R16,N34&lt;&gt;R15,N34&lt;&gt;R14,N34&lt;&gt;R13,N34&lt;&gt;R12,N34&lt;&gt;R11,N34&lt;&gt;R10,N34&lt;&gt;R9,N34&lt;&gt;R8),N34,IF(AND(O35&lt;&gt;0,N35&lt;&gt;R16,N35&lt;&gt;R15,N35&lt;&gt;R14,N35&lt;&gt;R13,N35&lt;&gt;R12,N35&lt;&gt;R11,N35&lt;&gt;R10,N35&lt;&gt;R9,N35&lt;&gt;R8),N35,IF(AND(O36&lt;&gt;0,N36&lt;&gt;R16,N36&lt;&gt;R15,N36&lt;&gt;R14,N36&lt;&gt;R13,N36&lt;&gt;R12,N36&lt;&gt;R11,N36&lt;&gt;R10,N36&lt;&gt;R9,N36&lt;&gt;R8),N36,IF(AND(O37&lt;&gt;0,N37&lt;&gt;R16,N37&lt;&gt;R15,N37&lt;&gt;R14,N37&lt;&gt;R13,N37&lt;&gt;R12,N37&lt;&gt;R11,N37&lt;&gt;R10,N37&lt;&gt;R9,N37&lt;&gt;R8),N37,"")))))))))))))))))))))</f>
        <v>0</v>
      </c>
      <c r="S17" s="1274">
        <f ca="1" t="shared" si="1">IF(ISNA(VLOOKUP(R17,$X$8:$Z$41,2,False))=True,"",VLOOKUP(R17,$X$8:$Z$41,2,False))</f>
        <v>0</v>
      </c>
      <c r="T17" s="1274">
        <f ca="1" t="shared" si="2">IF(ISNA(VLOOKUP(R17,$X$8:$Z$41,3,False))=True,"",VLOOKUP(R17,$X$8:$Z$41,3,False))</f>
        <v>0</v>
      </c>
      <c r="U17" s="1275">
        <f ca="1" t="shared" si="3">IF(ISNA(VLOOKUP(R17,$N$8:$O$37,2,False))=True,"",VLOOKUP(R17,$N$8:$O$37,2,False))</f>
        <v>0</v>
      </c>
      <c r="V17" s="2783">
        <f ca="1" t="shared" si="4">_xlfn.IFNA(IF(ISTEXT(VLOOKUP(R17,$B$8:$I$102,4,0)),VLOOKUP(R17,$B$8:$I$102,4,0),YEAR(VLOOKUP(R17,$B$8:$I$102,4,0))),"")</f>
        <v>0</v>
      </c>
      <c r="X17" s="824" t="s">
        <v>841</v>
      </c>
      <c r="Y17" s="1488" t="s">
        <v>946</v>
      </c>
      <c r="Z17" s="837" t="s">
        <v>842</v>
      </c>
    </row>
    <row r="18" spans="1:26" ht="15" customHeight="1">
      <c r="A18" s="1224">
        <v>11</v>
      </c>
      <c r="B18" s="1504"/>
      <c r="C18" s="826"/>
      <c r="D18" s="826"/>
      <c r="E18" s="1455"/>
      <c r="F18" s="815"/>
      <c r="G18" s="232"/>
      <c r="H18" s="900"/>
      <c r="I18" s="827">
        <f t="shared" si="0">G18*H18</f>
        <v>0</v>
      </c>
      <c r="K18" s="1736"/>
      <c r="L18" s="1488" t="s">
        <v>947</v>
      </c>
      <c r="M18" s="830" t="s">
        <v>844</v>
      </c>
      <c r="N18" s="1494" t="s">
        <v>843</v>
      </c>
      <c r="O18" s="829">
        <f ca="1" t="shared" si="5">SUMIF($B$45:$I$54,N18,$I$45:$I$54)</f>
        <v>0</v>
      </c>
      <c r="P18" s="829"/>
      <c r="Q18" s="829"/>
      <c r="R18" s="1273">
        <f ca="1">IF(AND(O18&lt;&gt;0,N18&lt;&gt;R17,N18&lt;&gt;R16,N18&lt;&gt;R15,N18&lt;&gt;R14,N18&lt;&gt;R13,N18&lt;&gt;R12,N18&lt;&gt;R11,N18&lt;&gt;R10,N18&lt;&gt;R9,N18&lt;&gt;R8),N18,IF(AND(O19&lt;&gt;0,N19&lt;&gt;R17,N19&lt;&gt;R16,N19&lt;&gt;R15,N19&lt;&gt;R14,N19&lt;&gt;R13,N19&lt;&gt;R12,N19&lt;&gt;R11,N19&lt;&gt;R10,N19&lt;&gt;R9,N19&lt;&gt;R8),N19,IF(AND(O20&lt;&gt;0,N20&lt;&gt;R17,N20&lt;&gt;R16,N20&lt;&gt;R15,N20&lt;&gt;R14,N20&lt;&gt;R13,N20&lt;&gt;R12,N20&lt;&gt;R11,N20&lt;&gt;R10,N20&lt;&gt;R9,N20&lt;&gt;R8),N20,IF(AND(O21&lt;&gt;0,N21&lt;&gt;R17,N21&lt;&gt;R16,N21&lt;&gt;R15,N21&lt;&gt;R14,N21&lt;&gt;R13,N21&lt;&gt;R12,N21&lt;&gt;R11,N21&lt;&gt;R10,N21&lt;&gt;R9,N21&lt;&gt;R8),N21,IF(AND(O22&lt;&gt;0,N22&lt;&gt;R17,N22&lt;&gt;R16,N22&lt;&gt;R15,N22&lt;&gt;R14,N22&lt;&gt;R13,N22&lt;&gt;R12,N22&lt;&gt;R11,N22&lt;&gt;R10,N22&lt;&gt;R9,N22&lt;&gt;R8),N22,IF(AND(O23&lt;&gt;0,N23&lt;&gt;R17,N23&lt;&gt;R16,N23&lt;&gt;R15,N23&lt;&gt;R14,N23&lt;&gt;R13,N23&lt;&gt;R12,N23&lt;&gt;R11,N23&lt;&gt;R10,N23&lt;&gt;R9,N23&lt;&gt;R8),N23,IF(AND(O24&lt;&gt;0,N24&lt;&gt;R17,N24&lt;&gt;R16,N24&lt;&gt;R15,N24&lt;&gt;R14,N24&lt;&gt;R13,N24&lt;&gt;R12,N24&lt;&gt;R11,N24&lt;&gt;R10,N24&lt;&gt;R9,N24&lt;&gt;R8),N24,IF(AND(O25&lt;&gt;0,N25&lt;&gt;R17,N25&lt;&gt;R16,N25&lt;&gt;R15,N25&lt;&gt;R14,N25&lt;&gt;R13,N25&lt;&gt;R12,N25&lt;&gt;R11,N25&lt;&gt;R10,N25&lt;&gt;R9,N25&lt;&gt;R8),N25,IF(AND(O26&lt;&gt;0,N26&lt;&gt;R17,N26&lt;&gt;R16,N26&lt;&gt;R15,N26&lt;&gt;R14,N26&lt;&gt;R13,N26&lt;&gt;R12,N26&lt;&gt;R11,N26&lt;&gt;R10,N26&lt;&gt;R9,N26&lt;&gt;R8),N26,IF(AND(O27&lt;&gt;0,N27&lt;&gt;R17,N27&lt;&gt;R16,N27&lt;&gt;R15,N27&lt;&gt;R14,N27&lt;&gt;R13,N27&lt;&gt;R12,N27&lt;&gt;R11,N27&lt;&gt;R10,N27&lt;&gt;R9,N27&lt;&gt;R8),N27,IF(AND(O28&lt;&gt;0,N28&lt;&gt;R17,N28&lt;&gt;R16,N28&lt;&gt;R15,N28&lt;&gt;R14,N28&lt;&gt;R13,N28&lt;&gt;R12,N28&lt;&gt;R11,N28&lt;&gt;R10,N28&lt;&gt;R9,N28&lt;&gt;R8),N28,IF(AND(O29&lt;&gt;0,N29&lt;&gt;R17,N29&lt;&gt;R16,N29&lt;&gt;R15,N29&lt;&gt;R14,N29&lt;&gt;R13,N29&lt;&gt;R12,N29&lt;&gt;R11,N29&lt;&gt;R10,N29&lt;&gt;R9,N29&lt;&gt;R8),N29,IF(AND(O30&lt;&gt;0,N30&lt;&gt;R17,N30&lt;&gt;R16,N30&lt;&gt;R15,N30&lt;&gt;R14,N30&lt;&gt;R13,N30&lt;&gt;R12,N30&lt;&gt;R11,N30&lt;&gt;R10,N30&lt;&gt;R9,N30&lt;&gt;R8),N30,IF(AND(O31&lt;&gt;0,N31&lt;&gt;R17,N31&lt;&gt;R16,N31&lt;&gt;R15,N31&lt;&gt;R14,N31&lt;&gt;R13,N31&lt;&gt;R12,N31&lt;&gt;R11,N31&lt;&gt;R10,N31&lt;&gt;R9,N31&lt;&gt;R8),N31,IF(AND(O32&lt;&gt;0,N32&lt;&gt;R17,N32&lt;&gt;R16,N32&lt;&gt;R15,N32&lt;&gt;R14,N32&lt;&gt;R13,N32&lt;&gt;R12,N32&lt;&gt;R11,N32&lt;&gt;R10,N32&lt;&gt;R9,N32&lt;&gt;R8),N32,IF(AND(O33&lt;&gt;0,N33&lt;&gt;R17,N33&lt;&gt;R16,N33&lt;&gt;R15,N33&lt;&gt;R14,N33&lt;&gt;R13,N33&lt;&gt;R12,N33&lt;&gt;R11,N33&lt;&gt;R10,N33&lt;&gt;R9,N33&lt;&gt;R8),N33,IF(AND(O34&lt;&gt;0,N34&lt;&gt;R17,N34&lt;&gt;R16,N34&lt;&gt;R15,N34&lt;&gt;R14,N34&lt;&gt;R13,N34&lt;&gt;R12,N34&lt;&gt;R11,N34&lt;&gt;R10,N34&lt;&gt;R9,N34&lt;&gt;R8),N34,IF(AND(O35&lt;&gt;0,N35&lt;&gt;R17,N35&lt;&gt;R16,N35&lt;&gt;R15,N35&lt;&gt;R14,N35&lt;&gt;R13,N35&lt;&gt;R12,N35&lt;&gt;R11,N35&lt;&gt;R10,N35&lt;&gt;R9,N35&lt;&gt;R8),N35,IF(AND(O36&lt;&gt;0,N36&lt;&gt;R17,N36&lt;&gt;R16,N36&lt;&gt;R15,N36&lt;&gt;R14,N36&lt;&gt;R13,N36&lt;&gt;R12,N36&lt;&gt;R11,N36&lt;&gt;R10,N36&lt;&gt;R9,N36&lt;&gt;R8),N36,IF(AND(O37&lt;&gt;0,N37&lt;&gt;R17,N37&lt;&gt;R16,N37&lt;&gt;R15,N37&lt;&gt;R14,N37&lt;&gt;R13,N37&lt;&gt;R12,N37&lt;&gt;R11,N37&lt;&gt;R10,N37&lt;&gt;R9,N37&lt;&gt;R8),N37,""))))))))))))))))))))</f>
        <v>0</v>
      </c>
      <c r="S18" s="1274">
        <f ca="1" t="shared" si="1">IF(ISNA(VLOOKUP(R18,$X$8:$Z$41,2,False))=True,"",VLOOKUP(R18,$X$8:$Z$41,2,False))</f>
        <v>0</v>
      </c>
      <c r="T18" s="1274">
        <f ca="1" t="shared" si="2">IF(ISNA(VLOOKUP(R18,$X$8:$Z$41,3,False))=True,"",VLOOKUP(R18,$X$8:$Z$41,3,False))</f>
        <v>0</v>
      </c>
      <c r="U18" s="1275">
        <f ca="1" t="shared" si="3">IF(ISNA(VLOOKUP(R18,$N$8:$O$37,2,False))=True,"",VLOOKUP(R18,$N$8:$O$37,2,False))</f>
        <v>0</v>
      </c>
      <c r="V18" s="2784">
        <f ca="1" t="shared" si="4">_xlfn.IFNA(IF(ISTEXT(VLOOKUP(R18,$B$8:$I$102,4,0)),VLOOKUP(R18,$B$8:$I$102,4,0),YEAR(VLOOKUP(R18,$B$8:$I$102,4,0))),"")</f>
        <v>0</v>
      </c>
      <c r="X18" s="824" t="s">
        <v>843</v>
      </c>
      <c r="Y18" s="1488" t="s">
        <v>947</v>
      </c>
      <c r="Z18" s="837" t="s">
        <v>844</v>
      </c>
    </row>
    <row r="19" spans="1:26" ht="15" customHeight="1">
      <c r="A19" s="1224">
        <v>12</v>
      </c>
      <c r="B19" s="1504"/>
      <c r="C19" s="826"/>
      <c r="D19" s="826"/>
      <c r="E19" s="1455"/>
      <c r="F19" s="815"/>
      <c r="G19" s="232"/>
      <c r="H19" s="900"/>
      <c r="I19" s="827">
        <f t="shared" si="0">G19*H19</f>
        <v>0</v>
      </c>
      <c r="K19" s="1736"/>
      <c r="L19" s="1485" t="s">
        <v>948</v>
      </c>
      <c r="M19" s="828" t="s">
        <v>1428</v>
      </c>
      <c r="N19" s="1492" t="s">
        <v>845</v>
      </c>
      <c r="O19" s="829">
        <f ca="1" t="shared" si="5">SUMIF($B$45:$I$54,N19,$I$45:$I$54)</f>
        <v>0</v>
      </c>
      <c r="P19" s="829"/>
      <c r="Q19" s="829"/>
      <c r="R19" s="1273">
        <f ca="1">IF(AND(O19&lt;&gt;0,N19&lt;&gt;R18,N19&lt;&gt;R17,N19&lt;&gt;R16,N19&lt;&gt;R15,N19&lt;&gt;R14,N19&lt;&gt;R13,N19&lt;&gt;R12,N19&lt;&gt;R11,N19&lt;&gt;R10,N19&lt;&gt;R9,N19&lt;&gt;R8),N19,IF(AND(O20&lt;&gt;0,N20&lt;&gt;R18,N20&lt;&gt;R17,N20&lt;&gt;R16,N20&lt;&gt;R15,N20&lt;&gt;R14,N20&lt;&gt;R13,N20&lt;&gt;R12,N20&lt;&gt;R11,N20&lt;&gt;R10,N20&lt;&gt;R9,N20&lt;&gt;R8),N20,IF(AND(O21&lt;&gt;0,N21&lt;&gt;R18,N21&lt;&gt;R17,N21&lt;&gt;R16,N21&lt;&gt;R15,N21&lt;&gt;R14,N21&lt;&gt;R13,N21&lt;&gt;R12,N21&lt;&gt;R11,N21&lt;&gt;R10,N21&lt;&gt;R9,N21&lt;&gt;R8),N21,IF(AND(O22&lt;&gt;0,N22&lt;&gt;R18,N22&lt;&gt;R17,N22&lt;&gt;R16,N22&lt;&gt;R15,N22&lt;&gt;R14,N22&lt;&gt;R13,N22&lt;&gt;R12,N22&lt;&gt;R11,N22&lt;&gt;R10,N22&lt;&gt;R9,N22&lt;&gt;R8),N22,IF(AND(O23&lt;&gt;0,N23&lt;&gt;R18,N23&lt;&gt;R17,N23&lt;&gt;R16,N23&lt;&gt;R15,N23&lt;&gt;R14,N23&lt;&gt;R13,N23&lt;&gt;R12,N23&lt;&gt;R11,N23&lt;&gt;R10,N23&lt;&gt;R9,N23&lt;&gt;R8),N23,IF(AND(O24&lt;&gt;0,N24&lt;&gt;R18,N24&lt;&gt;R17,N24&lt;&gt;R16,N24&lt;&gt;R15,N24&lt;&gt;R14,N24&lt;&gt;R13,N24&lt;&gt;R12,N24&lt;&gt;R11,N24&lt;&gt;R10,N24&lt;&gt;R9,N24&lt;&gt;R8),N24,IF(AND(O25&lt;&gt;0,N25&lt;&gt;R18,N25&lt;&gt;R17,N25&lt;&gt;R16,N25&lt;&gt;R15,N25&lt;&gt;R14,N25&lt;&gt;R13,N25&lt;&gt;R12,N25&lt;&gt;R11,N25&lt;&gt;R10,N25&lt;&gt;R9,N25&lt;&gt;R8),N25,IF(AND(O26&lt;&gt;0,N26&lt;&gt;R18,N26&lt;&gt;R17,N26&lt;&gt;R16,N26&lt;&gt;R15,N26&lt;&gt;R14,N26&lt;&gt;R13,N26&lt;&gt;R12,N26&lt;&gt;R11,N26&lt;&gt;R10,N26&lt;&gt;R9,N26&lt;&gt;R8),N26,IF(AND(O27&lt;&gt;0,N27&lt;&gt;R18,N27&lt;&gt;R17,N27&lt;&gt;R16,N27&lt;&gt;R15,N27&lt;&gt;R14,N27&lt;&gt;R13,N27&lt;&gt;R12,N27&lt;&gt;R11,N27&lt;&gt;R10,N27&lt;&gt;R9,N27&lt;&gt;R8),N27,IF(AND(O28&lt;&gt;0,N28&lt;&gt;R18,N28&lt;&gt;R17,N28&lt;&gt;R16,N28&lt;&gt;R15,N28&lt;&gt;R14,N28&lt;&gt;R13,N28&lt;&gt;R12,N28&lt;&gt;R11,N28&lt;&gt;R10,N28&lt;&gt;R9,N28&lt;&gt;R8),N28,IF(AND(O29&lt;&gt;0,N29&lt;&gt;R18,N29&lt;&gt;R17,N29&lt;&gt;R16,N29&lt;&gt;R15,N29&lt;&gt;R14,N29&lt;&gt;R13,N29&lt;&gt;R12,N29&lt;&gt;R11,N29&lt;&gt;R10,N29&lt;&gt;R9,N29&lt;&gt;R8),N29,IF(AND(O30&lt;&gt;0,N30&lt;&gt;R18,N30&lt;&gt;R17,N30&lt;&gt;R16,N30&lt;&gt;R15,N30&lt;&gt;R14,N30&lt;&gt;R13,N30&lt;&gt;R12,N30&lt;&gt;R11,N30&lt;&gt;R10,N30&lt;&gt;R9,N30&lt;&gt;R8),N30,IF(AND(O31&lt;&gt;0,N31&lt;&gt;R18,N31&lt;&gt;R17,N31&lt;&gt;R16,N31&lt;&gt;R15,N31&lt;&gt;R14,N31&lt;&gt;R13,N31&lt;&gt;R12,N31&lt;&gt;R11,N31&lt;&gt;R10,N31&lt;&gt;R9,N31&lt;&gt;R8),N31,IF(AND(O32&lt;&gt;0,N32&lt;&gt;R18,N32&lt;&gt;R17,N32&lt;&gt;R16,N32&lt;&gt;R15,N32&lt;&gt;R14,N32&lt;&gt;R13,N32&lt;&gt;R12,N32&lt;&gt;R11,N32&lt;&gt;R10,N32&lt;&gt;R9,N32&lt;&gt;R8),N32,IF(AND(O33&lt;&gt;0,N33&lt;&gt;R18,N33&lt;&gt;R17,N33&lt;&gt;R16,N33&lt;&gt;R15,N33&lt;&gt;R14,N33&lt;&gt;R13,N33&lt;&gt;R12,N33&lt;&gt;R11,N33&lt;&gt;R10,N33&lt;&gt;R9,N33&lt;&gt;R8),N33,IF(AND(O34&lt;&gt;0,N34&lt;&gt;R18,N34&lt;&gt;R17,N34&lt;&gt;R16,N34&lt;&gt;R15,N34&lt;&gt;R14,N34&lt;&gt;R13,N34&lt;&gt;R12,N34&lt;&gt;R11,N34&lt;&gt;R10,N34&lt;&gt;R9,N34&lt;&gt;R8),N34,IF(AND(O35&lt;&gt;0,N35&lt;&gt;R18,N35&lt;&gt;R17,N35&lt;&gt;R16,N35&lt;&gt;R15,N35&lt;&gt;R14,N35&lt;&gt;R13,N35&lt;&gt;R12,N35&lt;&gt;R11,N35&lt;&gt;R10,N35&lt;&gt;R9,N35&lt;&gt;R8),N35,IF(AND(O36&lt;&gt;0,N36&lt;&gt;R18,N36&lt;&gt;R17,N36&lt;&gt;R16,N36&lt;&gt;R15,N36&lt;&gt;R14,N36&lt;&gt;R13,N36&lt;&gt;R12,N36&lt;&gt;R11,N36&lt;&gt;R10,N36&lt;&gt;R9,N36&lt;&gt;R8),N36,IF(AND(O37&lt;&gt;0,N37&lt;&gt;R18,N37&lt;&gt;R17,N37&lt;&gt;R16,N37&lt;&gt;R15,N37&lt;&gt;R14,N37&lt;&gt;R13,N37&lt;&gt;R12,N37&lt;&gt;R11,N37&lt;&gt;R10,N37&lt;&gt;R9,N37&lt;&gt;R8),N37,"")))))))))))))))))))</f>
        <v>0</v>
      </c>
      <c r="S19" s="1274">
        <f ca="1" t="shared" si="1">IF(ISNA(VLOOKUP(R19,$X$8:$Z$41,2,False))=True,"",VLOOKUP(R19,$X$8:$Z$41,2,False))</f>
        <v>0</v>
      </c>
      <c r="T19" s="1274">
        <f ca="1" t="shared" si="2">IF(ISNA(VLOOKUP(R19,$X$8:$Z$41,3,False))=True,"",VLOOKUP(R19,$X$8:$Z$41,3,False))</f>
        <v>0</v>
      </c>
      <c r="U19" s="1275">
        <f ca="1" t="shared" si="3">IF(ISNA(VLOOKUP(R19,$N$8:$O$37,2,False))=True,"",VLOOKUP(R19,$N$8:$O$37,2,False))</f>
        <v>0</v>
      </c>
      <c r="V19" s="2784">
        <f ca="1" t="shared" si="4">_xlfn.IFNA(IF(ISTEXT(VLOOKUP(R19,$B$8:$I$102,4,0)),VLOOKUP(R19,$B$8:$I$102,4,0),YEAR(VLOOKUP(R19,$B$8:$I$102,4,0))),"")</f>
        <v>0</v>
      </c>
      <c r="X19" s="831" t="s">
        <v>845</v>
      </c>
      <c r="Y19" s="1485" t="s">
        <v>948</v>
      </c>
      <c r="Z19" s="832" t="s">
        <v>1428</v>
      </c>
    </row>
    <row r="20" spans="1:26" ht="15" customHeight="1">
      <c r="A20" s="1224">
        <v>13</v>
      </c>
      <c r="B20" s="1504"/>
      <c r="C20" s="826"/>
      <c r="D20" s="826"/>
      <c r="E20" s="1455"/>
      <c r="F20" s="815"/>
      <c r="G20" s="232"/>
      <c r="H20" s="900"/>
      <c r="I20" s="827">
        <f t="shared" si="0">G20*H20</f>
        <v>0</v>
      </c>
      <c r="K20" s="1736"/>
      <c r="L20" s="1488" t="s">
        <v>949</v>
      </c>
      <c r="M20" s="830" t="s">
        <v>847</v>
      </c>
      <c r="N20" s="1494" t="s">
        <v>846</v>
      </c>
      <c r="O20" s="829">
        <f ca="1" t="shared" si="5">SUMIF($B$45:$I$54,N20,$I$45:$I$54)</f>
        <v>0</v>
      </c>
      <c r="P20" s="829"/>
      <c r="Q20" s="829"/>
      <c r="R20" s="1273">
        <f ca="1">IF(AND(O20&lt;&gt;0,N20&lt;&gt;R19,N20&lt;&gt;R18,N20&lt;&gt;R17,N20&lt;&gt;R16,N20&lt;&gt;R15,N20&lt;&gt;R14,N20&lt;&gt;R13,N20&lt;&gt;R12,N20&lt;&gt;R11,N20&lt;&gt;R10,N20&lt;&gt;R9,N20&lt;&gt;R8),N20,IF(AND(O21&lt;&gt;0,N21&lt;&gt;R19,N21&lt;&gt;R18,N21&lt;&gt;R17,N21&lt;&gt;R16,N21&lt;&gt;R15,N21&lt;&gt;R14,N21&lt;&gt;R13,N21&lt;&gt;R12,N21&lt;&gt;R11,N21&lt;&gt;R10,N21&lt;&gt;R9,N21&lt;&gt;R8),N21,IF(AND(O22&lt;&gt;0,N22&lt;&gt;R19,N22&lt;&gt;R18,N22&lt;&gt;R17,N22&lt;&gt;R16,N22&lt;&gt;R15,N22&lt;&gt;R14,N22&lt;&gt;R13,N22&lt;&gt;R12,N22&lt;&gt;R11,N22&lt;&gt;R10,N22&lt;&gt;R9,N22&lt;&gt;R8),N22,IF(AND(O23&lt;&gt;0,N23&lt;&gt;R19,N23&lt;&gt;R18,N23&lt;&gt;R17,N23&lt;&gt;R16,N23&lt;&gt;R15,N23&lt;&gt;R14,N23&lt;&gt;R13,N23&lt;&gt;R12,N23&lt;&gt;R11,N23&lt;&gt;R10,N23&lt;&gt;R9,N23&lt;&gt;R8),N23,IF(AND(O24&lt;&gt;0,N24&lt;&gt;R19,N24&lt;&gt;R18,N24&lt;&gt;R17,N24&lt;&gt;R16,N24&lt;&gt;R15,N24&lt;&gt;R14,N24&lt;&gt;R13,N24&lt;&gt;R12,N24&lt;&gt;R11,N24&lt;&gt;R10,N24&lt;&gt;R9,N24&lt;&gt;R8),N24,IF(AND(O25&lt;&gt;0,N25&lt;&gt;R19,N25&lt;&gt;R18,N25&lt;&gt;R17,N25&lt;&gt;R16,N25&lt;&gt;R15,N25&lt;&gt;R14,N25&lt;&gt;R13,N25&lt;&gt;R12,N25&lt;&gt;R11,N25&lt;&gt;R10,N25&lt;&gt;R9,N25&lt;&gt;R8),N25,IF(AND(O26&lt;&gt;0,N26&lt;&gt;R19,N26&lt;&gt;R18,N26&lt;&gt;R17,N26&lt;&gt;R16,N26&lt;&gt;R15,N26&lt;&gt;R14,N26&lt;&gt;R13,N26&lt;&gt;R12,N26&lt;&gt;R11,N26&lt;&gt;R10,N26&lt;&gt;R9,N26&lt;&gt;R8),N26,IF(AND(O27&lt;&gt;0,N27&lt;&gt;R19,N27&lt;&gt;R18,N27&lt;&gt;R17,N27&lt;&gt;R16,N27&lt;&gt;R15,N27&lt;&gt;R14,N27&lt;&gt;R13,N27&lt;&gt;R12,N27&lt;&gt;R11,N27&lt;&gt;R10,N27&lt;&gt;R9,N27&lt;&gt;R8),N27,IF(AND(O28&lt;&gt;0,N28&lt;&gt;R19,N28&lt;&gt;R18,N28&lt;&gt;R17,N28&lt;&gt;R16,N28&lt;&gt;R15,N28&lt;&gt;R14,N28&lt;&gt;R13,N28&lt;&gt;R12,N28&lt;&gt;R11,N28&lt;&gt;R10,N28&lt;&gt;R9,N28&lt;&gt;R8),N28,IF(AND(O29&lt;&gt;0,N29&lt;&gt;R19,N29&lt;&gt;R18,N29&lt;&gt;R17,N29&lt;&gt;R16,N29&lt;&gt;R15,N29&lt;&gt;R14,N29&lt;&gt;R13,N29&lt;&gt;R12,N29&lt;&gt;R11,N29&lt;&gt;R10,N29&lt;&gt;R9,N29&lt;&gt;R8),N29,IF(AND(O30&lt;&gt;0,N30&lt;&gt;R19,N30&lt;&gt;R18,N30&lt;&gt;R17,N30&lt;&gt;R16,N30&lt;&gt;R15,N30&lt;&gt;R14,N30&lt;&gt;R13,N30&lt;&gt;R12,N30&lt;&gt;R11,N30&lt;&gt;R10,N30&lt;&gt;R9,N30&lt;&gt;R8),N30,IF(AND(O31&lt;&gt;0,N31&lt;&gt;R19,N31&lt;&gt;R18,N31&lt;&gt;R17,N31&lt;&gt;R16,N31&lt;&gt;R15,N31&lt;&gt;R14,N31&lt;&gt;R13,N31&lt;&gt;R12,N31&lt;&gt;R11,N31&lt;&gt;R10,N31&lt;&gt;R9,N31&lt;&gt;R8),N31,IF(AND(O32&lt;&gt;0,N32&lt;&gt;R19,N32&lt;&gt;R18,N32&lt;&gt;R17,N32&lt;&gt;R16,N32&lt;&gt;R15,N32&lt;&gt;R14,N32&lt;&gt;R13,N32&lt;&gt;R12,N32&lt;&gt;R11,N32&lt;&gt;R10,N32&lt;&gt;R9,N32&lt;&gt;R8),N32,IF(AND(O33&lt;&gt;0,N33&lt;&gt;R19,N33&lt;&gt;R18,N33&lt;&gt;R17,N33&lt;&gt;R16,N33&lt;&gt;R15,N33&lt;&gt;R14,N33&lt;&gt;R13,N33&lt;&gt;R12,N33&lt;&gt;R11,N33&lt;&gt;R10,N33&lt;&gt;R9,N33&lt;&gt;R8),N33,IF(AND(O34&lt;&gt;0,N34&lt;&gt;R19,N34&lt;&gt;R18,N34&lt;&gt;R17,N34&lt;&gt;R16,N34&lt;&gt;R15,N34&lt;&gt;R14,N34&lt;&gt;R13,N34&lt;&gt;R12,N34&lt;&gt;R11,N34&lt;&gt;R10,N34&lt;&gt;R9,N34&lt;&gt;R8),N34,IF(AND(O35&lt;&gt;0,N35&lt;&gt;R19,N35&lt;&gt;R18,N35&lt;&gt;R17,N35&lt;&gt;R16,N35&lt;&gt;R15,N35&lt;&gt;R14,N35&lt;&gt;R13,N35&lt;&gt;R12,N35&lt;&gt;R11,N35&lt;&gt;R10,N35&lt;&gt;R9,N35&lt;&gt;R8),N35,IF(AND(O36&lt;&gt;0,N36&lt;&gt;R19,N36&lt;&gt;R18,N36&lt;&gt;R17,N36&lt;&gt;R16,N36&lt;&gt;R15,N36&lt;&gt;R14,N36&lt;&gt;R13,N36&lt;&gt;R12,N36&lt;&gt;R11,N36&lt;&gt;R10,N36&lt;&gt;R9,N36&lt;&gt;R8),N36,IF(AND(O37&lt;&gt;0,N37&lt;&gt;R19,N37&lt;&gt;R18,N37&lt;&gt;R17,N37&lt;&gt;R16,N37&lt;&gt;R15,N37&lt;&gt;R14,N37&lt;&gt;R13,N37&lt;&gt;R12,N37&lt;&gt;R11,N37&lt;&gt;R10,N37&lt;&gt;R9,N37&lt;&gt;R8),N37,""))))))))))))))))))</f>
        <v>0</v>
      </c>
      <c r="S20" s="1274">
        <f ca="1" t="shared" si="1">IF(ISNA(VLOOKUP(R20,$X$8:$Z$41,2,False))=True,"",VLOOKUP(R20,$X$8:$Z$41,2,False))</f>
        <v>0</v>
      </c>
      <c r="T20" s="1274">
        <f ca="1" t="shared" si="2">IF(ISNA(VLOOKUP(R20,$X$8:$Z$41,3,False))=True,"",VLOOKUP(R20,$X$8:$Z$41,3,False))</f>
        <v>0</v>
      </c>
      <c r="U20" s="1275">
        <f ca="1" t="shared" si="3">IF(ISNA(VLOOKUP(R20,$N$8:$O$37,2,False))=True,"",VLOOKUP(R20,$N$8:$O$37,2,False))</f>
        <v>0</v>
      </c>
      <c r="V20" s="2784">
        <f ca="1" t="shared" si="4">_xlfn.IFNA(IF(ISTEXT(VLOOKUP(R20,$B$8:$I$102,4,0)),VLOOKUP(R20,$B$8:$I$102,4,0),YEAR(VLOOKUP(R20,$B$8:$I$102,4,0))),"")</f>
        <v>0</v>
      </c>
      <c r="X20" s="824" t="s">
        <v>846</v>
      </c>
      <c r="Y20" s="1488" t="s">
        <v>949</v>
      </c>
      <c r="Z20" s="837" t="s">
        <v>847</v>
      </c>
    </row>
    <row r="21" spans="1:26" ht="15" customHeight="1">
      <c r="A21" s="1224">
        <v>14</v>
      </c>
      <c r="B21" s="1504"/>
      <c r="C21" s="826"/>
      <c r="D21" s="826"/>
      <c r="E21" s="1455"/>
      <c r="F21" s="815"/>
      <c r="G21" s="232"/>
      <c r="H21" s="900"/>
      <c r="I21" s="827">
        <f t="shared" si="0">G21*H21</f>
        <v>0</v>
      </c>
      <c r="K21" s="1736"/>
      <c r="L21" s="1488" t="s">
        <v>950</v>
      </c>
      <c r="M21" s="830" t="s">
        <v>1429</v>
      </c>
      <c r="N21" s="1494" t="s">
        <v>848</v>
      </c>
      <c r="O21" s="829">
        <f ca="1" t="shared" si="5">SUMIF($B$45:$I$54,N21,$I$45:$I$54)</f>
        <v>0</v>
      </c>
      <c r="P21" s="829"/>
      <c r="Q21" s="829"/>
      <c r="R21" s="1273">
        <f ca="1">IF(AND(O21&lt;&gt;0,N21&lt;&gt;R20,N21&lt;&gt;R19,N21&lt;&gt;R18,N21&lt;&gt;R17,N21&lt;&gt;R16,N21&lt;&gt;R15,N21&lt;&gt;R14,N21&lt;&gt;R13,N21&lt;&gt;R12,N21&lt;&gt;R11,N21&lt;&gt;R10,N21&lt;&gt;R9,N21&lt;&gt;R8),N21,IF(AND(O22&lt;&gt;0,N22&lt;&gt;R20,N22&lt;&gt;R19,N22&lt;&gt;R18,N22&lt;&gt;R17,N22&lt;&gt;R16,N22&lt;&gt;R15,N22&lt;&gt;R14,N22&lt;&gt;R13,N22&lt;&gt;R12,N22&lt;&gt;R11,N22&lt;&gt;R10,N22&lt;&gt;R9,N22&lt;&gt;R8),N22,IF(AND(O23&lt;&gt;0,N23&lt;&gt;R20,N23&lt;&gt;R19,N23&lt;&gt;R18,N23&lt;&gt;R17,N23&lt;&gt;R16,N23&lt;&gt;R15,N23&lt;&gt;R14,N23&lt;&gt;R13,N23&lt;&gt;R12,N23&lt;&gt;R11,N23&lt;&gt;R10,N23&lt;&gt;R9,N23&lt;&gt;R8),N23,IF(AND(O24&lt;&gt;0,N24&lt;&gt;R20,N24&lt;&gt;R19,N24&lt;&gt;R18,N24&lt;&gt;R17,N24&lt;&gt;R16,N24&lt;&gt;R15,N24&lt;&gt;R14,N24&lt;&gt;R13,N24&lt;&gt;R12,N24&lt;&gt;R11,N24&lt;&gt;R10,N24&lt;&gt;R9,N24&lt;&gt;R8),N24,IF(AND(O25&lt;&gt;0,N25&lt;&gt;R20,N25&lt;&gt;R19,N25&lt;&gt;R18,N25&lt;&gt;R17,N25&lt;&gt;R16,N25&lt;&gt;R15,N25&lt;&gt;R14,N25&lt;&gt;R13,N25&lt;&gt;R12,N25&lt;&gt;R11,N25&lt;&gt;R10,N25&lt;&gt;R9,N25&lt;&gt;R8),N25,IF(AND(O26&lt;&gt;0,N26&lt;&gt;R20,N26&lt;&gt;R19,N26&lt;&gt;R18,N26&lt;&gt;R17,N26&lt;&gt;R16,N26&lt;&gt;R15,N26&lt;&gt;R14,N26&lt;&gt;R13,N26&lt;&gt;R12,N26&lt;&gt;R11,N26&lt;&gt;R10,N26&lt;&gt;R9,N26&lt;&gt;R8),N26,IF(AND(O27&lt;&gt;0,N27&lt;&gt;R20,N27&lt;&gt;R19,N27&lt;&gt;R18,N27&lt;&gt;R17,N27&lt;&gt;R16,N27&lt;&gt;R15,N27&lt;&gt;R14,N27&lt;&gt;R13,N27&lt;&gt;R12,N27&lt;&gt;R11,N27&lt;&gt;R10,N27&lt;&gt;R9,N27&lt;&gt;R8),N27,IF(AND(O28&lt;&gt;0,N28&lt;&gt;R20,N28&lt;&gt;R19,N28&lt;&gt;R18,N28&lt;&gt;R17,N28&lt;&gt;R16,N28&lt;&gt;R15,N28&lt;&gt;R14,N28&lt;&gt;R13,N28&lt;&gt;R12,N28&lt;&gt;R11,N28&lt;&gt;R10,N28&lt;&gt;R9,N28&lt;&gt;R8),N28,IF(AND(O29&lt;&gt;0,N29&lt;&gt;R20,N29&lt;&gt;R19,N29&lt;&gt;R18,N29&lt;&gt;R17,N29&lt;&gt;R16,N29&lt;&gt;R15,N29&lt;&gt;R14,N29&lt;&gt;R13,N29&lt;&gt;R12,N29&lt;&gt;R11,N29&lt;&gt;R10,N29&lt;&gt;R9,N29&lt;&gt;R8),N29,IF(AND(O30&lt;&gt;0,N30&lt;&gt;R20,N30&lt;&gt;R19,N30&lt;&gt;R18,N30&lt;&gt;R17,N30&lt;&gt;R16,N30&lt;&gt;R15,N30&lt;&gt;R14,N30&lt;&gt;R13,N30&lt;&gt;R12,N30&lt;&gt;R11,N30&lt;&gt;R10,N30&lt;&gt;R9,N30&lt;&gt;R8),N30,IF(AND(O31&lt;&gt;0,N31&lt;&gt;R20,N31&lt;&gt;R19,N31&lt;&gt;R18,N31&lt;&gt;R17,N31&lt;&gt;R16,N31&lt;&gt;R15,N31&lt;&gt;R14,N31&lt;&gt;R13,N31&lt;&gt;R12,N31&lt;&gt;R11,N31&lt;&gt;R10,N31&lt;&gt;R9,N31&lt;&gt;R8),N31,IF(AND(O32&lt;&gt;0,N32&lt;&gt;R20,N32&lt;&gt;R19,N32&lt;&gt;R18,N32&lt;&gt;R17,N32&lt;&gt;R16,N32&lt;&gt;R15,N32&lt;&gt;R14,N32&lt;&gt;R13,N32&lt;&gt;R12,N32&lt;&gt;R11,N32&lt;&gt;R10,N32&lt;&gt;R9,N32&lt;&gt;R8),N32,IF(AND(O33&lt;&gt;0,N33&lt;&gt;R20,N33&lt;&gt;R19,N33&lt;&gt;R18,N33&lt;&gt;R17,N33&lt;&gt;R16,N33&lt;&gt;R15,N33&lt;&gt;R14,N33&lt;&gt;R13,N33&lt;&gt;R12,N33&lt;&gt;R11,N33&lt;&gt;R10,N33&lt;&gt;R9,N33&lt;&gt;R8),N33,IF(AND(O34&lt;&gt;0,N34&lt;&gt;R20,N34&lt;&gt;R19,N34&lt;&gt;R18,N34&lt;&gt;R17,N34&lt;&gt;R16,N34&lt;&gt;R15,N34&lt;&gt;R14,N34&lt;&gt;R13,N34&lt;&gt;R12,N34&lt;&gt;R11,N34&lt;&gt;R10,N34&lt;&gt;R9,N34&lt;&gt;R8),N34,IF(AND(O35&lt;&gt;0,N35&lt;&gt;R20,N35&lt;&gt;R19,N35&lt;&gt;R18,N35&lt;&gt;R17,N35&lt;&gt;R16,N35&lt;&gt;R15,N35&lt;&gt;R14,N35&lt;&gt;R13,N35&lt;&gt;R12,N35&lt;&gt;R11,N35&lt;&gt;R10,N35&lt;&gt;R9,N35&lt;&gt;R8),N35,IF(AND(O36&lt;&gt;0,N36&lt;&gt;R20,N36&lt;&gt;R19,N36&lt;&gt;R18,N36&lt;&gt;R17,N36&lt;&gt;R16,N36&lt;&gt;R15,N36&lt;&gt;R14,N36&lt;&gt;R13,N36&lt;&gt;R12,N36&lt;&gt;R11,N36&lt;&gt;R10,N36&lt;&gt;R9,N36&lt;&gt;R8),N36,IF(AND(O37&lt;&gt;0,N37&lt;&gt;R20,N37&lt;&gt;R19,N37&lt;&gt;R18,N37&lt;&gt;R17,N37&lt;&gt;R16,N37&lt;&gt;R15,N37&lt;&gt;R14,N37&lt;&gt;R13,N37&lt;&gt;R12,N37&lt;&gt;R11,N37&lt;&gt;R10,N37&lt;&gt;R9,N37&lt;&gt;R8),N37,"")))))))))))))))))</f>
        <v>0</v>
      </c>
      <c r="S21" s="1274">
        <f ca="1" t="shared" si="1">IF(ISNA(VLOOKUP(R21,$X$8:$Z$41,2,False))=True,"",VLOOKUP(R21,$X$8:$Z$41,2,False))</f>
        <v>0</v>
      </c>
      <c r="T21" s="1274">
        <f ca="1" t="shared" si="2">IF(ISNA(VLOOKUP(R21,$X$8:$Z$41,3,False))=True,"",VLOOKUP(R21,$X$8:$Z$41,3,False))</f>
        <v>0</v>
      </c>
      <c r="U21" s="1275">
        <f ca="1" t="shared" si="3">IF(ISNA(VLOOKUP(R21,$N$8:$O$37,2,False))=True,"",VLOOKUP(R21,$N$8:$O$37,2,False))</f>
        <v>0</v>
      </c>
      <c r="V21" s="2784">
        <f ca="1" t="shared" si="4">_xlfn.IFNA(IF(ISTEXT(VLOOKUP(R21,$B$8:$I$102,4,0)),VLOOKUP(R21,$B$8:$I$102,4,0),YEAR(VLOOKUP(R21,$B$8:$I$102,4,0))),"")</f>
        <v>0</v>
      </c>
      <c r="X21" s="824" t="s">
        <v>848</v>
      </c>
      <c r="Y21" s="1488" t="s">
        <v>950</v>
      </c>
      <c r="Z21" s="837" t="s">
        <v>1429</v>
      </c>
    </row>
    <row r="22" spans="1:26" ht="15" customHeight="1" thickBot="1">
      <c r="A22" s="1225">
        <v>15</v>
      </c>
      <c r="B22" s="1505"/>
      <c r="C22" s="838"/>
      <c r="D22" s="838"/>
      <c r="E22" s="1456"/>
      <c r="F22" s="576"/>
      <c r="G22" s="839"/>
      <c r="H22" s="901"/>
      <c r="I22" s="840">
        <f t="shared" si="0">G22*H22</f>
        <v>0</v>
      </c>
      <c r="K22" s="1736"/>
      <c r="L22" s="1488" t="s">
        <v>966</v>
      </c>
      <c r="M22" s="830" t="s">
        <v>1430</v>
      </c>
      <c r="N22" s="1494" t="s">
        <v>849</v>
      </c>
      <c r="O22" s="829">
        <f ca="1" t="shared" si="5">SUMIF($B$45:$I$54,N22,$I$45:$I$54)</f>
        <v>0</v>
      </c>
      <c r="P22" s="829"/>
      <c r="Q22" s="829"/>
      <c r="R22" s="1273">
        <f ca="1">IF(AND(O22&lt;&gt;0,N22&lt;&gt;R21,N22&lt;&gt;R20,N22&lt;&gt;R19,N22&lt;&gt;R18,N22&lt;&gt;R17,N22&lt;&gt;R16,N22&lt;&gt;R15,N22&lt;&gt;R14,N22&lt;&gt;R13,N22&lt;&gt;R12,N22&lt;&gt;R11,N22&lt;&gt;R10,N22&lt;&gt;R9,N22&lt;&gt;R8),N22,IF(AND(O23&lt;&gt;0,N23&lt;&gt;R21,N23&lt;&gt;R20,N23&lt;&gt;R19,N23&lt;&gt;R18,N23&lt;&gt;R17,N23&lt;&gt;R16,N23&lt;&gt;R15,N23&lt;&gt;R14,N23&lt;&gt;R13,N23&lt;&gt;R12,N23&lt;&gt;R11,N23&lt;&gt;R10,N23&lt;&gt;R9,N23&lt;&gt;R8),N23,IF(AND(O24&lt;&gt;0,N24&lt;&gt;R21,N24&lt;&gt;R20,N24&lt;&gt;R19,N24&lt;&gt;R18,N24&lt;&gt;R17,N24&lt;&gt;R16,N24&lt;&gt;R15,N24&lt;&gt;R14,N24&lt;&gt;R13,N24&lt;&gt;R12,N24&lt;&gt;R11,N24&lt;&gt;R10,N24&lt;&gt;R9,N24&lt;&gt;R8),N24,IF(AND(O25&lt;&gt;0,N25&lt;&gt;R21,N25&lt;&gt;R20,N25&lt;&gt;R19,N25&lt;&gt;R18,N25&lt;&gt;R17,N25&lt;&gt;R16,N25&lt;&gt;R15,N25&lt;&gt;R14,N25&lt;&gt;R13,N25&lt;&gt;R12,N25&lt;&gt;R11,N25&lt;&gt;R10,N25&lt;&gt;R9,N25&lt;&gt;R8),N25,IF(AND(O26&lt;&gt;0,N26&lt;&gt;R21,N26&lt;&gt;R20,N26&lt;&gt;R19,N26&lt;&gt;R18,N26&lt;&gt;R17,N26&lt;&gt;R16,N26&lt;&gt;R15,N26&lt;&gt;R14,N26&lt;&gt;R13,N26&lt;&gt;R12,N26&lt;&gt;R11,N26&lt;&gt;R10,N26&lt;&gt;R9,N26&lt;&gt;R8),N26,IF(AND(O27&lt;&gt;0,N27&lt;&gt;R21,N27&lt;&gt;R20,N27&lt;&gt;R19,N27&lt;&gt;R18,N27&lt;&gt;R17,N27&lt;&gt;R16,N27&lt;&gt;R15,N27&lt;&gt;R14,N27&lt;&gt;R13,N27&lt;&gt;R12,N27&lt;&gt;R11,N27&lt;&gt;R10,N27&lt;&gt;R9,N27&lt;&gt;R8),N27,IF(AND(O28&lt;&gt;0,N28&lt;&gt;R21,N28&lt;&gt;R20,N28&lt;&gt;R19,N28&lt;&gt;R18,N28&lt;&gt;R17,N28&lt;&gt;R16,N28&lt;&gt;R15,N28&lt;&gt;R14,N28&lt;&gt;R13,N28&lt;&gt;R12,N28&lt;&gt;R11,N28&lt;&gt;R10,N28&lt;&gt;R9,N28&lt;&gt;R8),N28,IF(AND(O29&lt;&gt;0,N29&lt;&gt;R21,N29&lt;&gt;R20,N29&lt;&gt;R19,N29&lt;&gt;R18,N29&lt;&gt;R17,N29&lt;&gt;R16,N29&lt;&gt;R15,N29&lt;&gt;R14,N29&lt;&gt;R13,N29&lt;&gt;R12,N29&lt;&gt;R11,N29&lt;&gt;R10,N29&lt;&gt;R9,N29&lt;&gt;R8),N29,IF(AND(O30&lt;&gt;0,N30&lt;&gt;R21,N30&lt;&gt;R20,N30&lt;&gt;R19,N30&lt;&gt;R18,N30&lt;&gt;R17,N30&lt;&gt;R16,N30&lt;&gt;R15,N30&lt;&gt;R14,N30&lt;&gt;R13,N30&lt;&gt;R12,N30&lt;&gt;R11,N30&lt;&gt;R10,N30&lt;&gt;R9,N30&lt;&gt;R8),N30,IF(AND(O31&lt;&gt;0,N31&lt;&gt;R21,N31&lt;&gt;R20,N31&lt;&gt;R19,N31&lt;&gt;R18,N31&lt;&gt;R17,N31&lt;&gt;R16,N31&lt;&gt;R15,N31&lt;&gt;R14,N31&lt;&gt;R13,N31&lt;&gt;R12,N31&lt;&gt;R11,N31&lt;&gt;R10,N31&lt;&gt;R9,N31&lt;&gt;R8),N31,IF(AND(O32&lt;&gt;0,N32&lt;&gt;R21,N32&lt;&gt;R20,N32&lt;&gt;R19,N32&lt;&gt;R18,N32&lt;&gt;R17,N32&lt;&gt;R16,N32&lt;&gt;R15,N32&lt;&gt;R14,N32&lt;&gt;R13,N32&lt;&gt;R12,N32&lt;&gt;R11,N32&lt;&gt;R10,N32&lt;&gt;R9,N32&lt;&gt;R8),N32,IF(AND(O33&lt;&gt;0,N33&lt;&gt;R21,N33&lt;&gt;R20,N33&lt;&gt;R19,N33&lt;&gt;R18,N33&lt;&gt;R17,N33&lt;&gt;R16,N33&lt;&gt;R15,N33&lt;&gt;R14,N33&lt;&gt;R13,N33&lt;&gt;R12,N33&lt;&gt;R11,N33&lt;&gt;R10,N33&lt;&gt;R9,N33&lt;&gt;R8),N33,IF(AND(O34&lt;&gt;0,N34&lt;&gt;R21,N34&lt;&gt;R20,N34&lt;&gt;R19,N34&lt;&gt;R18,N34&lt;&gt;R17,N34&lt;&gt;R16,N34&lt;&gt;R15,N34&lt;&gt;R14,N34&lt;&gt;R13,N34&lt;&gt;R12,N34&lt;&gt;R11,N34&lt;&gt;R10,N34&lt;&gt;R9,N34&lt;&gt;R8),N34,IF(AND(O35&lt;&gt;0,N35&lt;&gt;R21,N35&lt;&gt;R20,N35&lt;&gt;R19,N35&lt;&gt;R18,N35&lt;&gt;R17,N35&lt;&gt;R16,N35&lt;&gt;R15,N35&lt;&gt;R14,N35&lt;&gt;R13,N35&lt;&gt;R12,N35&lt;&gt;R11,N35&lt;&gt;R10,N35&lt;&gt;R9,N35&lt;&gt;R8),N35,IF(AND(O36&lt;&gt;0,N36&lt;&gt;R21,N36&lt;&gt;R20,N36&lt;&gt;R19,N36&lt;&gt;R18,N36&lt;&gt;R17,N36&lt;&gt;R16,N36&lt;&gt;R15,N36&lt;&gt;R14,N36&lt;&gt;R13,N36&lt;&gt;R12,N36&lt;&gt;R11,N36&lt;&gt;R10,N36&lt;&gt;R9,N36&lt;&gt;R8),N36,IF(AND(O37&lt;&gt;0,N37&lt;&gt;R21,N37&lt;&gt;R20,N37&lt;&gt;R19,N37&lt;&gt;R18,N37&lt;&gt;R17,N37&lt;&gt;R16,N37&lt;&gt;R15,N37&lt;&gt;R14,N37&lt;&gt;R13,N37&lt;&gt;R12,N37&lt;&gt;R11,N37&lt;&gt;R10,N37&lt;&gt;R9,N37&lt;&gt;R8),N37,""))))))))))))))))</f>
        <v>0</v>
      </c>
      <c r="S22" s="1274">
        <f ca="1" t="shared" si="1">IF(ISNA(VLOOKUP(R22,$X$8:$Z$41,2,False))=True,"",VLOOKUP(R22,$X$8:$Z$41,2,False))</f>
        <v>0</v>
      </c>
      <c r="T22" s="1274">
        <f ca="1" t="shared" si="2">IF(ISNA(VLOOKUP(R22,$X$8:$Z$41,3,False))=True,"",VLOOKUP(R22,$X$8:$Z$41,3,False))</f>
        <v>0</v>
      </c>
      <c r="U22" s="1275">
        <f ca="1" t="shared" si="3">IF(ISNA(VLOOKUP(R22,$N$8:$O$37,2,False))=True,"",VLOOKUP(R22,$N$8:$O$37,2,False))</f>
        <v>0</v>
      </c>
      <c r="V22" s="2784">
        <f ca="1" t="shared" si="4">_xlfn.IFNA(IF(ISTEXT(VLOOKUP(R22,$B$8:$I$102,4,0)),VLOOKUP(R22,$B$8:$I$102,4,0),YEAR(VLOOKUP(R22,$B$8:$I$102,4,0))),"")</f>
        <v>0</v>
      </c>
      <c r="X22" s="824" t="s">
        <v>849</v>
      </c>
      <c r="Y22" s="1488" t="s">
        <v>966</v>
      </c>
      <c r="Z22" s="837" t="s">
        <v>1430</v>
      </c>
    </row>
    <row r="23" spans="1:26" ht="13.5" customHeight="1" thickTop="1" thickBot="1">
      <c r="A23" s="637"/>
      <c r="B23" s="1506"/>
      <c r="C23" s="639"/>
      <c r="D23" s="639"/>
      <c r="E23" s="1454"/>
      <c r="F23" s="637"/>
      <c r="G23" s="637"/>
      <c r="H23" s="902"/>
      <c r="I23" s="574"/>
      <c r="K23" s="1736"/>
      <c r="L23" s="1487" t="s">
        <v>951</v>
      </c>
      <c r="M23" s="833" t="s">
        <v>1431</v>
      </c>
      <c r="N23" s="1493" t="s">
        <v>850</v>
      </c>
      <c r="O23" s="829">
        <f ca="1" t="shared" si="5">SUMIF($B$45:$I$54,N23,$I$45:$I$54)</f>
        <v>0</v>
      </c>
      <c r="P23" s="829"/>
      <c r="Q23" s="829"/>
      <c r="R23" s="1273">
        <f ca="1">IF(AND(O23&lt;&gt;0,N23&lt;&gt;R22,N23&lt;&gt;R21,N23&lt;&gt;R20,N23&lt;&gt;R19,N23&lt;&gt;R18,N23&lt;&gt;R17,N23&lt;&gt;R16,N23&lt;&gt;R15,N23&lt;&gt;R14,N23&lt;&gt;R13,N23&lt;&gt;R12,N23&lt;&gt;R11,N23&lt;&gt;R10,N23&lt;&gt;R9,N23&lt;&gt;R8),N23,IF(AND(O24&lt;&gt;0,N24&lt;&gt;R22,N24&lt;&gt;R21,N24&lt;&gt;R20,N24&lt;&gt;R19,N24&lt;&gt;R18,N24&lt;&gt;R17,N24&lt;&gt;R16,N24&lt;&gt;R15,N24&lt;&gt;R14,N24&lt;&gt;R13,N24&lt;&gt;R12,N24&lt;&gt;R11,N24&lt;&gt;R10,N24&lt;&gt;R9,N24&lt;&gt;R8),N24,IF(AND(O25&lt;&gt;0,N25&lt;&gt;R22,N25&lt;&gt;R21,N25&lt;&gt;R20,N25&lt;&gt;R19,N25&lt;&gt;R18,N25&lt;&gt;R17,N25&lt;&gt;R16,N25&lt;&gt;R15,N25&lt;&gt;R14,N25&lt;&gt;R13,N25&lt;&gt;R12,N25&lt;&gt;R11,N25&lt;&gt;R10,N25&lt;&gt;R9,N25&lt;&gt;R8),N25,IF(AND(O26&lt;&gt;0,N26&lt;&gt;R22,N26&lt;&gt;R21,N26&lt;&gt;R20,N26&lt;&gt;R19,N26&lt;&gt;R18,N26&lt;&gt;R17,N26&lt;&gt;R16,N26&lt;&gt;R15,N26&lt;&gt;R14,N26&lt;&gt;R13,N26&lt;&gt;R12,N26&lt;&gt;R11,N26&lt;&gt;R10,N26&lt;&gt;R9,N26&lt;&gt;R8),N26,IF(AND(O27&lt;&gt;0,N27&lt;&gt;R22,N27&lt;&gt;R21,N27&lt;&gt;R20,N27&lt;&gt;R19,N27&lt;&gt;R18,N27&lt;&gt;R17,N27&lt;&gt;R16,N27&lt;&gt;R15,N27&lt;&gt;R14,N27&lt;&gt;R13,N27&lt;&gt;R12,N27&lt;&gt;R11,N27&lt;&gt;R10,N27&lt;&gt;R9,N27&lt;&gt;R8),N27,IF(AND(O28&lt;&gt;0,N28&lt;&gt;R22,N28&lt;&gt;R21,N28&lt;&gt;R20,N28&lt;&gt;R19,N28&lt;&gt;R18,N28&lt;&gt;R17,N28&lt;&gt;R16,N28&lt;&gt;R15,N28&lt;&gt;R14,N28&lt;&gt;R13,N28&lt;&gt;R12,N28&lt;&gt;R11,N28&lt;&gt;R10,N28&lt;&gt;R9,N28&lt;&gt;R8),N28,IF(AND(O29&lt;&gt;0,N29&lt;&gt;R22,N29&lt;&gt;R21,N29&lt;&gt;R20,N29&lt;&gt;R19,N29&lt;&gt;R18,N29&lt;&gt;R17,N29&lt;&gt;R16,N29&lt;&gt;R15,N29&lt;&gt;R14,N29&lt;&gt;R13,N29&lt;&gt;R12,N29&lt;&gt;R11,N29&lt;&gt;R10,N29&lt;&gt;R9,N29&lt;&gt;R8),N29,IF(AND(O30&lt;&gt;0,N30&lt;&gt;R22,N30&lt;&gt;R21,N30&lt;&gt;R20,N30&lt;&gt;R19,N30&lt;&gt;R18,N30&lt;&gt;R17,N30&lt;&gt;R16,N30&lt;&gt;R15,N30&lt;&gt;R14,N30&lt;&gt;R13,N30&lt;&gt;R12,N30&lt;&gt;R11,N30&lt;&gt;R10,N30&lt;&gt;R9,N30&lt;&gt;R8),N30,IF(AND(O31&lt;&gt;0,N31&lt;&gt;R22,N31&lt;&gt;R21,N31&lt;&gt;R20,N31&lt;&gt;R19,N31&lt;&gt;R18,N31&lt;&gt;R17,N31&lt;&gt;R16,N31&lt;&gt;R15,N31&lt;&gt;R14,N31&lt;&gt;R13,N31&lt;&gt;R12,N31&lt;&gt;R11,N31&lt;&gt;R10,N31&lt;&gt;R9,N31&lt;&gt;R8),N31,IF(AND(O32&lt;&gt;0,N32&lt;&gt;R22,N32&lt;&gt;R21,N32&lt;&gt;R20,N32&lt;&gt;R19,N32&lt;&gt;R18,N32&lt;&gt;R17,N32&lt;&gt;R16,N32&lt;&gt;R15,N32&lt;&gt;R14,N32&lt;&gt;R13,N32&lt;&gt;R12,N32&lt;&gt;R11,N32&lt;&gt;R10,N32&lt;&gt;R9,N32&lt;&gt;R8),N32,IF(AND(O33&lt;&gt;0,N33&lt;&gt;R22,N33&lt;&gt;R21,N33&lt;&gt;R20,N33&lt;&gt;R19,N33&lt;&gt;R18,N33&lt;&gt;R17,N33&lt;&gt;R16,N33&lt;&gt;R15,N33&lt;&gt;R14,N33&lt;&gt;R13,N33&lt;&gt;R12,N33&lt;&gt;R11,N33&lt;&gt;R10,N33&lt;&gt;R9,N33&lt;&gt;R8),N33,IF(AND(O34&lt;&gt;0,N34&lt;&gt;R22,N34&lt;&gt;R21,N34&lt;&gt;R20,N34&lt;&gt;R19,N34&lt;&gt;R18,N34&lt;&gt;R17,N34&lt;&gt;R16,N34&lt;&gt;R15,N34&lt;&gt;R14,N34&lt;&gt;R13,N34&lt;&gt;R12,N34&lt;&gt;R11,N34&lt;&gt;R10,N34&lt;&gt;R9,N34&lt;&gt;R8),N34,IF(AND(O35&lt;&gt;0,N35&lt;&gt;R22,N35&lt;&gt;R21,N35&lt;&gt;R20,N35&lt;&gt;R19,N35&lt;&gt;R18,N35&lt;&gt;R17,N35&lt;&gt;R16,N35&lt;&gt;R15,N35&lt;&gt;R14,N35&lt;&gt;R13,N35&lt;&gt;R12,N35&lt;&gt;R11,N35&lt;&gt;R10,N35&lt;&gt;R9,N35&lt;&gt;R8),N35,IF(AND(O36&lt;&gt;0,N36&lt;&gt;R22,N36&lt;&gt;R21,N36&lt;&gt;R20,N36&lt;&gt;R19,N36&lt;&gt;R18,N36&lt;&gt;R17,N36&lt;&gt;R16,N36&lt;&gt;R15,N36&lt;&gt;R14,N36&lt;&gt;R13,N36&lt;&gt;R12,N36&lt;&gt;R11,N36&lt;&gt;R10,N36&lt;&gt;R9,N36&lt;&gt;R8),N36,IF(AND(O37&lt;&gt;0,N37&lt;&gt;R22,N37&lt;&gt;R21,N37&lt;&gt;R20,N37&lt;&gt;R19,N37&lt;&gt;R18,N37&lt;&gt;R17,N37&lt;&gt;R16,N37&lt;&gt;R15,N37&lt;&gt;R14,N37&lt;&gt;R13,N37&lt;&gt;R12,N37&lt;&gt;R11,N37&lt;&gt;R10,N37&lt;&gt;R9,N37&lt;&gt;R8),N37,"")))))))))))))))</f>
        <v>0</v>
      </c>
      <c r="S23" s="1274">
        <f ca="1" t="shared" si="1">IF(ISNA(VLOOKUP(R23,$X$8:$Z$41,2,False))=True,"",VLOOKUP(R23,$X$8:$Z$41,2,False))</f>
        <v>0</v>
      </c>
      <c r="T23" s="1274">
        <f ca="1" t="shared" si="2">IF(ISNA(VLOOKUP(R23,$X$8:$Z$41,3,False))=True,"",VLOOKUP(R23,$X$8:$Z$41,3,False))</f>
        <v>0</v>
      </c>
      <c r="U23" s="1275">
        <f ca="1" t="shared" si="3">IF(ISNA(VLOOKUP(R23,$N$8:$O$37,2,False))=True,"",VLOOKUP(R23,$N$8:$O$37,2,False))</f>
        <v>0</v>
      </c>
      <c r="V23" s="2784">
        <f ca="1" t="shared" si="4">_xlfn.IFNA(IF(ISTEXT(VLOOKUP(R23,$B$8:$I$102,4,0)),VLOOKUP(R23,$B$8:$I$102,4,0),YEAR(VLOOKUP(R23,$B$8:$I$102,4,0))),"")</f>
        <v>0</v>
      </c>
      <c r="X23" s="834" t="s">
        <v>850</v>
      </c>
      <c r="Y23" s="1487" t="s">
        <v>951</v>
      </c>
      <c r="Z23" s="835" t="s">
        <v>1431</v>
      </c>
    </row>
    <row r="24" spans="1:26" ht="14.25" customHeight="1" thickTop="1" thickBot="1">
      <c r="A24" s="473"/>
      <c r="B24" s="1507"/>
      <c r="C24" s="473"/>
      <c r="D24" s="473"/>
      <c r="E24" s="1457"/>
      <c r="F24" s="637"/>
      <c r="G24" s="637"/>
      <c r="H24" s="903" t="s">
        <v>250</v>
      </c>
      <c r="I24" s="575">
        <f>SUM(I8:I22)</f>
        <v>0</v>
      </c>
      <c r="K24" s="1736" t="s">
        <v>851</v>
      </c>
      <c r="L24" s="1488" t="s">
        <v>952</v>
      </c>
      <c r="M24" s="830" t="s">
        <v>853</v>
      </c>
      <c r="N24" s="1494" t="s">
        <v>852</v>
      </c>
      <c r="O24" s="829">
        <f ca="1">SUMIF($B$61:$I$70,N24,$I$61:$I$70)</f>
        <v>0</v>
      </c>
      <c r="P24" s="829"/>
      <c r="Q24" s="829"/>
      <c r="R24" s="1273">
        <f ca="1">IF(AND(O24&lt;&gt;0,N24&lt;&gt;R23,N24&lt;&gt;R22,N24&lt;&gt;R21,N24&lt;&gt;R20,N24&lt;&gt;R19,N24&lt;&gt;R18,N24&lt;&gt;R17,N24&lt;&gt;R16,N24&lt;&gt;R15,N24&lt;&gt;R14,N24&lt;&gt;R13,N24&lt;&gt;R12,N24&lt;&gt;R11,N24&lt;&gt;R10,N24&lt;&gt;R9,N24&lt;&gt;R8),N24,IF(AND(O25&lt;&gt;0,N25&lt;&gt;R23,N25&lt;&gt;R22,N25&lt;&gt;R21,N25&lt;&gt;R20,N25&lt;&gt;R19,N25&lt;&gt;R18,N25&lt;&gt;R17,N25&lt;&gt;R16,N25&lt;&gt;R15,N25&lt;&gt;R14,N25&lt;&gt;R13,N25&lt;&gt;R12,N25&lt;&gt;R11,N25&lt;&gt;R10,N25&lt;&gt;R9,N25&lt;&gt;R8),N25,IF(AND(O26&lt;&gt;0,N26&lt;&gt;R23,N26&lt;&gt;R22,N26&lt;&gt;R21,N26&lt;&gt;R20,N26&lt;&gt;R19,N26&lt;&gt;R18,N26&lt;&gt;R17,N26&lt;&gt;R16,N26&lt;&gt;R15,N26&lt;&gt;R14,N26&lt;&gt;R13,N26&lt;&gt;R12,N26&lt;&gt;R11,N26&lt;&gt;R10,N26&lt;&gt;R9,N26&lt;&gt;R8),N26,IF(AND(O27&lt;&gt;0,N27&lt;&gt;R23,N27&lt;&gt;R22,N27&lt;&gt;R21,N27&lt;&gt;R20,N27&lt;&gt;R19,N27&lt;&gt;R18,N27&lt;&gt;R17,N27&lt;&gt;R16,N27&lt;&gt;R15,N27&lt;&gt;R14,N27&lt;&gt;R13,N27&lt;&gt;R12,N27&lt;&gt;R11,N27&lt;&gt;R10,N27&lt;&gt;R9,N27&lt;&gt;R8),N27,IF(AND(O28&lt;&gt;0,N28&lt;&gt;R23,N28&lt;&gt;R22,N28&lt;&gt;R21,N28&lt;&gt;R20,N28&lt;&gt;R19,N28&lt;&gt;R18,N28&lt;&gt;R17,N28&lt;&gt;R16,N28&lt;&gt;R15,N28&lt;&gt;R14,N28&lt;&gt;R13,N28&lt;&gt;R12,N28&lt;&gt;R11,N28&lt;&gt;R10,N28&lt;&gt;R9,N28&lt;&gt;R8),N28,IF(AND(O29&lt;&gt;0,N29&lt;&gt;R23,N29&lt;&gt;R22,N29&lt;&gt;R21,N29&lt;&gt;R20,N29&lt;&gt;R19,N29&lt;&gt;R18,N29&lt;&gt;R17,N29&lt;&gt;R16,N29&lt;&gt;R15,N29&lt;&gt;R14,N29&lt;&gt;R13,N29&lt;&gt;R12,N29&lt;&gt;R11,N29&lt;&gt;R10,N29&lt;&gt;R9,N29&lt;&gt;R8),N29,IF(AND(O30&lt;&gt;0,N30&lt;&gt;R23,N30&lt;&gt;R22,N30&lt;&gt;R21,N30&lt;&gt;R20,N30&lt;&gt;R19,N30&lt;&gt;R18,N30&lt;&gt;R17,N30&lt;&gt;R16,N30&lt;&gt;R15,N30&lt;&gt;R14,N30&lt;&gt;R13,N30&lt;&gt;R12,N30&lt;&gt;R11,N30&lt;&gt;R10,N30&lt;&gt;R9,N30&lt;&gt;R8),N30,IF(AND(O31&lt;&gt;0,N31&lt;&gt;R23,N31&lt;&gt;R22,N31&lt;&gt;R21,N31&lt;&gt;R20,N31&lt;&gt;R19,N31&lt;&gt;R18,N31&lt;&gt;R17,N31&lt;&gt;R16,N31&lt;&gt;R15,N31&lt;&gt;R14,N31&lt;&gt;R13,N31&lt;&gt;R12,N31&lt;&gt;R11,N31&lt;&gt;R10,N31&lt;&gt;R9,N31&lt;&gt;R8),N31,IF(AND(O32&lt;&gt;0,N32&lt;&gt;R23,N32&lt;&gt;R22,N32&lt;&gt;R21,N32&lt;&gt;R20,N32&lt;&gt;R19,N32&lt;&gt;R18,N32&lt;&gt;R17,N32&lt;&gt;R16,N32&lt;&gt;R15,N32&lt;&gt;R14,N32&lt;&gt;R13,N32&lt;&gt;R12,N32&lt;&gt;R11,N32&lt;&gt;R10,N32&lt;&gt;R9,N32&lt;&gt;R8),N32,IF(AND(O33&lt;&gt;0,N33&lt;&gt;R23,N33&lt;&gt;R22,N33&lt;&gt;R21,N33&lt;&gt;R20,N33&lt;&gt;R19,N33&lt;&gt;R18,N33&lt;&gt;R17,N33&lt;&gt;R16,N33&lt;&gt;R15,N33&lt;&gt;R14,N33&lt;&gt;R13,N33&lt;&gt;R12,N33&lt;&gt;R11,N33&lt;&gt;R10,N33&lt;&gt;R9,N33&lt;&gt;R8),N33,IF(AND(O34&lt;&gt;0,N34&lt;&gt;R23,N34&lt;&gt;R22,N34&lt;&gt;R21,N34&lt;&gt;R20,N34&lt;&gt;R19,N34&lt;&gt;R18,N34&lt;&gt;R17,N34&lt;&gt;R16,N34&lt;&gt;R15,N34&lt;&gt;R14,N34&lt;&gt;R13,N34&lt;&gt;R12,N34&lt;&gt;R11,N34&lt;&gt;R10,N34&lt;&gt;R9,N34&lt;&gt;R8),N34,IF(AND(O35&lt;&gt;0,N35&lt;&gt;R23,N35&lt;&gt;R22,N35&lt;&gt;R21,N35&lt;&gt;R20,N35&lt;&gt;R19,N35&lt;&gt;R18,N35&lt;&gt;R17,N35&lt;&gt;R16,N35&lt;&gt;R15,N35&lt;&gt;R14,N35&lt;&gt;R13,N35&lt;&gt;R12,N35&lt;&gt;R11,N35&lt;&gt;R10,N35&lt;&gt;R9,N35&lt;&gt;R8),N35,IF(AND(O36&lt;&gt;0,N36&lt;&gt;R23,N36&lt;&gt;R22,N36&lt;&gt;R21,N36&lt;&gt;R20,N36&lt;&gt;R19,N36&lt;&gt;R18,N36&lt;&gt;R17,N36&lt;&gt;R16,N36&lt;&gt;R15,N36&lt;&gt;R14,N36&lt;&gt;R13,N36&lt;&gt;R12,N36&lt;&gt;R11,N36&lt;&gt;R10,N36&lt;&gt;R9,N36&lt;&gt;R8),N36,IF(AND(O37&lt;&gt;0,N37&lt;&gt;R23,N37&lt;&gt;R22,N37&lt;&gt;R21,N37&lt;&gt;R20,N37&lt;&gt;R19,N37&lt;&gt;R18,N37&lt;&gt;R17,N37&lt;&gt;R16,N37&lt;&gt;R15,N37&lt;&gt;R14,N37&lt;&gt;R13,N37&lt;&gt;R12,N37&lt;&gt;R11,N37&lt;&gt;R10,N37&lt;&gt;R9,N37&lt;&gt;R8),N37,""))))))))))))))</f>
        <v>0</v>
      </c>
      <c r="S24" s="1274">
        <f ca="1" t="shared" si="1">IF(ISNA(VLOOKUP(R24,$X$8:$Z$41,2,False))=True,"",VLOOKUP(R24,$X$8:$Z$41,2,False))</f>
        <v>0</v>
      </c>
      <c r="T24" s="1274">
        <f ca="1" t="shared" si="2">IF(ISNA(VLOOKUP(R24,$X$8:$Z$41,3,False))=True,"",VLOOKUP(R24,$X$8:$Z$41,3,False))</f>
        <v>0</v>
      </c>
      <c r="U24" s="1275">
        <f ca="1" t="shared" si="3">IF(ISNA(VLOOKUP(R24,$N$8:$O$37,2,False))=True,"",VLOOKUP(R24,$N$8:$O$37,2,False))</f>
        <v>0</v>
      </c>
      <c r="V24" s="2784">
        <f ca="1" t="shared" si="4">_xlfn.IFNA(IF(ISTEXT(VLOOKUP(R24,$B$8:$I$102,4,0)),VLOOKUP(R24,$B$8:$I$102,4,0),YEAR(VLOOKUP(R24,$B$8:$I$102,4,0))),"")</f>
        <v>0</v>
      </c>
      <c r="X24" s="824" t="s">
        <v>852</v>
      </c>
      <c r="Y24" s="1488" t="s">
        <v>952</v>
      </c>
      <c r="Z24" s="837" t="s">
        <v>853</v>
      </c>
    </row>
    <row r="25" spans="1:26" ht="13.5" customHeight="1" thickTop="1">
      <c r="A25" s="473" t="s">
        <v>832</v>
      </c>
      <c r="B25" s="1507"/>
      <c r="C25" s="639"/>
      <c r="D25" s="639"/>
      <c r="E25" s="1454"/>
      <c r="F25" s="637"/>
      <c r="G25" s="637"/>
      <c r="H25" s="902"/>
      <c r="I25" s="574"/>
      <c r="K25" s="1736"/>
      <c r="L25" s="1488" t="s">
        <v>953</v>
      </c>
      <c r="M25" s="830" t="s">
        <v>855</v>
      </c>
      <c r="N25" s="1494" t="s">
        <v>854</v>
      </c>
      <c r="O25" s="829">
        <f ca="1">SUMIF($B$61:$I$70,N25,$I$61:$I$70)</f>
        <v>0</v>
      </c>
      <c r="P25" s="829"/>
      <c r="Q25" s="829"/>
      <c r="R25" s="1273">
        <f ca="1">IF(AND(O25&lt;&gt;0,N25&lt;&gt;R24,N25&lt;&gt;R23,N25&lt;&gt;R22,N25&lt;&gt;R21,N25&lt;&gt;R20,N25&lt;&gt;R19,N25&lt;&gt;R18,N25&lt;&gt;R17,N25&lt;&gt;R16,N25&lt;&gt;R15,N25&lt;&gt;R14,N25&lt;&gt;R13,N25&lt;&gt;R12,N25&lt;&gt;R11,N25&lt;&gt;R10,N25&lt;&gt;R9,N25&lt;&gt;R8),N25,IF(AND(O26&lt;&gt;0,N26&lt;&gt;R24,N26&lt;&gt;R23,N26&lt;&gt;R22,N26&lt;&gt;R21,N26&lt;&gt;R20,N26&lt;&gt;R19,N26&lt;&gt;R18,N26&lt;&gt;R17,N26&lt;&gt;R16,N26&lt;&gt;R15,N26&lt;&gt;R14,N26&lt;&gt;R13,N26&lt;&gt;R12,N26&lt;&gt;R11,N26&lt;&gt;R10,N26&lt;&gt;R9,N26&lt;&gt;R8),N26,IF(AND(O27&lt;&gt;0,N27&lt;&gt;R24,N27&lt;&gt;R23,N27&lt;&gt;R22,N27&lt;&gt;R21,N27&lt;&gt;R20,N27&lt;&gt;R19,N27&lt;&gt;R18,N27&lt;&gt;R17,N27&lt;&gt;R16,N27&lt;&gt;R15,N27&lt;&gt;R14,N27&lt;&gt;R13,N27&lt;&gt;R12,N27&lt;&gt;R11,N27&lt;&gt;R10,N27&lt;&gt;R9,N27&lt;&gt;R8),N27,IF(AND(O28&lt;&gt;0,N28&lt;&gt;R24,N28&lt;&gt;R23,N28&lt;&gt;R22,N28&lt;&gt;R21,N28&lt;&gt;R20,N28&lt;&gt;R19,N28&lt;&gt;R18,N28&lt;&gt;R17,N28&lt;&gt;R16,N28&lt;&gt;R15,N28&lt;&gt;R14,N28&lt;&gt;R13,N28&lt;&gt;R12,N28&lt;&gt;R11,N28&lt;&gt;R10,N28&lt;&gt;R9,N28&lt;&gt;R8),N28,IF(AND(O29&lt;&gt;0,N29&lt;&gt;R24,N29&lt;&gt;R23,N29&lt;&gt;R22,N29&lt;&gt;R21,N29&lt;&gt;R20,N29&lt;&gt;R19,N29&lt;&gt;R18,N29&lt;&gt;R17,N29&lt;&gt;R16,N29&lt;&gt;R15,N29&lt;&gt;R14,N29&lt;&gt;R13,N29&lt;&gt;R12,N29&lt;&gt;R11,N29&lt;&gt;R10,N29&lt;&gt;R9,N29&lt;&gt;R8),N29,IF(AND(O30&lt;&gt;0,N30&lt;&gt;R24,N30&lt;&gt;R23,N30&lt;&gt;R22,N30&lt;&gt;R21,N30&lt;&gt;R20,N30&lt;&gt;R19,N30&lt;&gt;R18,N30&lt;&gt;R17,N30&lt;&gt;R16,N30&lt;&gt;R15,N30&lt;&gt;R14,N30&lt;&gt;R13,N30&lt;&gt;R12,N30&lt;&gt;R11,N30&lt;&gt;R10,N30&lt;&gt;R9,N30&lt;&gt;R8),N30,IF(AND(O31&lt;&gt;0,N31&lt;&gt;R24,N31&lt;&gt;R23,N31&lt;&gt;R22,N31&lt;&gt;R21,N31&lt;&gt;R20,N31&lt;&gt;R19,N31&lt;&gt;R18,N31&lt;&gt;R17,N31&lt;&gt;R16,N31&lt;&gt;R15,N31&lt;&gt;R14,N31&lt;&gt;R13,N31&lt;&gt;R12,N31&lt;&gt;R11,N31&lt;&gt;R10,N31&lt;&gt;R9,N31&lt;&gt;R8),N31,IF(AND(O32&lt;&gt;0,N32&lt;&gt;R24,N32&lt;&gt;R23,N32&lt;&gt;R22,N32&lt;&gt;R21,N32&lt;&gt;R20,N32&lt;&gt;R19,N32&lt;&gt;R18,N32&lt;&gt;R17,N32&lt;&gt;R16,N32&lt;&gt;R15,N32&lt;&gt;R14,N32&lt;&gt;R13,N32&lt;&gt;R12,N32&lt;&gt;R11,N32&lt;&gt;R10,N32&lt;&gt;R9,N32&lt;&gt;R8),N32,IF(AND(O33&lt;&gt;0,N33&lt;&gt;R24,N33&lt;&gt;R23,N33&lt;&gt;R22,N33&lt;&gt;R21,N33&lt;&gt;R20,N33&lt;&gt;R19,N33&lt;&gt;R18,N33&lt;&gt;R17,N33&lt;&gt;R16,N33&lt;&gt;R15,N33&lt;&gt;R14,N33&lt;&gt;R13,N33&lt;&gt;R12,N33&lt;&gt;R11,N33&lt;&gt;R10,N33&lt;&gt;R9,N33&lt;&gt;R8),N33,IF(AND(O34&lt;&gt;0,N34&lt;&gt;R24,N34&lt;&gt;R23,N34&lt;&gt;R22,N34&lt;&gt;R21,N34&lt;&gt;R20,N34&lt;&gt;R19,N34&lt;&gt;R18,N34&lt;&gt;R17,N34&lt;&gt;R16,N34&lt;&gt;R15,N34&lt;&gt;R14,N34&lt;&gt;R13,N34&lt;&gt;R12,N34&lt;&gt;R11,N34&lt;&gt;R10,N34&lt;&gt;R9,N34&lt;&gt;R8),N34,IF(AND(O35&lt;&gt;0,N35&lt;&gt;R24,N35&lt;&gt;R23,N35&lt;&gt;R22,N35&lt;&gt;R21,N35&lt;&gt;R20,N35&lt;&gt;R19,N35&lt;&gt;R18,N35&lt;&gt;R17,N35&lt;&gt;R16,N35&lt;&gt;R15,N35&lt;&gt;R14,N35&lt;&gt;R13,N35&lt;&gt;R12,N35&lt;&gt;R11,N35&lt;&gt;R10,N35&lt;&gt;R9,N35&lt;&gt;R8),N35,IF(AND(O36&lt;&gt;0,N36&lt;&gt;R24,N36&lt;&gt;R23,N36&lt;&gt;R22,N36&lt;&gt;R21,N36&lt;&gt;R20,N36&lt;&gt;R19,N36&lt;&gt;R18,N36&lt;&gt;R17,N36&lt;&gt;R16,N36&lt;&gt;R15,N36&lt;&gt;R14,N36&lt;&gt;R13,N36&lt;&gt;R12,N36&lt;&gt;R11,N36&lt;&gt;R10,N36&lt;&gt;R9,N36&lt;&gt;R8),N36,IF(AND(O37&lt;&gt;0,N37&lt;&gt;R24,N37&lt;&gt;R23,N37&lt;&gt;R22,N37&lt;&gt;R21,N37&lt;&gt;R20,N37&lt;&gt;R19,N37&lt;&gt;R18,N37&lt;&gt;R17,N37&lt;&gt;R16,N37&lt;&gt;R15,N37&lt;&gt;R14,N37&lt;&gt;R13,N37&lt;&gt;R12,N37&lt;&gt;R11,N37&lt;&gt;R10,N37&lt;&gt;R9,N37&lt;&gt;R8),N37,"")))))))))))))</f>
        <v>0</v>
      </c>
      <c r="S25" s="1274">
        <f ca="1" t="shared" si="1">IF(ISNA(VLOOKUP(R25,$X$8:$Z$41,2,False))=True,"",VLOOKUP(R25,$X$8:$Z$41,2,False))</f>
        <v>0</v>
      </c>
      <c r="T25" s="1274">
        <f ca="1" t="shared" si="2">IF(ISNA(VLOOKUP(R25,$X$8:$Z$41,3,False))=True,"",VLOOKUP(R25,$X$8:$Z$41,3,False))</f>
        <v>0</v>
      </c>
      <c r="U25" s="1275">
        <f ca="1" t="shared" si="3">IF(ISNA(VLOOKUP(R25,$N$8:$O$37,2,False))=True,"",VLOOKUP(R25,$N$8:$O$37,2,False))</f>
        <v>0</v>
      </c>
      <c r="V25" s="2784">
        <f ca="1" t="shared" si="4">_xlfn.IFNA(IF(ISTEXT(VLOOKUP(R25,$B$8:$I$102,4,0)),VLOOKUP(R25,$B$8:$I$102,4,0),YEAR(VLOOKUP(R25,$B$8:$I$102,4,0))),"")</f>
        <v>0</v>
      </c>
      <c r="X25" s="824" t="s">
        <v>854</v>
      </c>
      <c r="Y25" s="1488" t="s">
        <v>953</v>
      </c>
      <c r="Z25" s="837" t="s">
        <v>855</v>
      </c>
    </row>
    <row r="26" spans="1:26" ht="13.5" customHeight="1" thickBot="1">
      <c r="A26" s="473"/>
      <c r="B26" s="1507"/>
      <c r="C26" s="639"/>
      <c r="D26" s="639"/>
      <c r="E26" s="1454"/>
      <c r="F26" s="637"/>
      <c r="G26" s="637"/>
      <c r="H26" s="902"/>
      <c r="I26" s="574"/>
      <c r="K26" s="1736"/>
      <c r="L26" s="1488" t="s">
        <v>954</v>
      </c>
      <c r="M26" s="830" t="s">
        <v>857</v>
      </c>
      <c r="N26" s="1494" t="s">
        <v>856</v>
      </c>
      <c r="O26" s="829">
        <f ca="1">SUMIF($B$61:$I$70,N26,$I$61:$I$70)</f>
        <v>0</v>
      </c>
      <c r="P26" s="829"/>
      <c r="Q26" s="829"/>
      <c r="R26" s="1273">
        <f ca="1">IF(AND(O26&lt;&gt;0,N26&lt;&gt;R25,N26&lt;&gt;R24,N26&lt;&gt;R23,N26&lt;&gt;R22,N26&lt;&gt;R21,N26&lt;&gt;R20,N26&lt;&gt;R19,N26&lt;&gt;R18,N26&lt;&gt;R17,N26&lt;&gt;R16,N26&lt;&gt;R15,N26&lt;&gt;R14,N26&lt;&gt;R13,N26&lt;&gt;R12,N26&lt;&gt;R11,N26&lt;&gt;R10,N26&lt;&gt;R9,N26&lt;&gt;R8),N26,IF(AND(O27&lt;&gt;0,N27&lt;&gt;R25,N27&lt;&gt;R24,N27&lt;&gt;R23,N27&lt;&gt;R22,N27&lt;&gt;R21,N27&lt;&gt;R20,N27&lt;&gt;R19,N27&lt;&gt;R18,N27&lt;&gt;R17,N27&lt;&gt;R16,N27&lt;&gt;R15,N27&lt;&gt;R14,N27&lt;&gt;R13,N27&lt;&gt;R12,N27&lt;&gt;R11,N27&lt;&gt;R10,N27&lt;&gt;R9,N27&lt;&gt;R8),N27,IF(AND(O28&lt;&gt;0,N28&lt;&gt;R25,N28&lt;&gt;R24,N28&lt;&gt;R23,N28&lt;&gt;R22,N28&lt;&gt;R21,N28&lt;&gt;R20,N28&lt;&gt;R19,N28&lt;&gt;R18,N28&lt;&gt;R17,N28&lt;&gt;R16,N28&lt;&gt;R15,N28&lt;&gt;R14,N28&lt;&gt;R13,N28&lt;&gt;R12,N28&lt;&gt;R11,N28&lt;&gt;R10,N28&lt;&gt;R9,N28&lt;&gt;R8),N28,IF(AND(O29&lt;&gt;0,N29&lt;&gt;R25,N29&lt;&gt;R24,N29&lt;&gt;R23,N29&lt;&gt;R22,N29&lt;&gt;R21,N29&lt;&gt;R20,N29&lt;&gt;R19,N29&lt;&gt;R18,N29&lt;&gt;R17,N29&lt;&gt;R16,N29&lt;&gt;R15,N29&lt;&gt;R14,N29&lt;&gt;R13,N29&lt;&gt;R12,N29&lt;&gt;R11,N29&lt;&gt;R10,N29&lt;&gt;R9,N29&lt;&gt;R8),N29,IF(AND(O30&lt;&gt;0,N30&lt;&gt;R25,N30&lt;&gt;R24,N30&lt;&gt;R23,N30&lt;&gt;R22,N30&lt;&gt;R21,N30&lt;&gt;R20,N30&lt;&gt;R19,N30&lt;&gt;R18,N30&lt;&gt;R17,N30&lt;&gt;R16,N30&lt;&gt;R15,N30&lt;&gt;R14,N30&lt;&gt;R13,N30&lt;&gt;R12,N30&lt;&gt;R11,N30&lt;&gt;R10,N30&lt;&gt;R9,N30&lt;&gt;R8),N30,IF(AND(O31&lt;&gt;0,N31&lt;&gt;R25,N31&lt;&gt;R24,N31&lt;&gt;R23,N31&lt;&gt;R22,N31&lt;&gt;R21,N31&lt;&gt;R20,N31&lt;&gt;R19,N31&lt;&gt;R18,N31&lt;&gt;R17,N31&lt;&gt;R16,N31&lt;&gt;R15,N31&lt;&gt;R14,N31&lt;&gt;R13,N31&lt;&gt;R12,N31&lt;&gt;R11,N31&lt;&gt;R10,N31&lt;&gt;R9,N31&lt;&gt;R8),N31,IF(AND(O32&lt;&gt;0,N32&lt;&gt;R25,N32&lt;&gt;R24,N32&lt;&gt;R23,N32&lt;&gt;R22,N32&lt;&gt;R21,N32&lt;&gt;R20,N32&lt;&gt;R19,N32&lt;&gt;R18,N32&lt;&gt;R17,N32&lt;&gt;R16,N32&lt;&gt;R15,N32&lt;&gt;R14,N32&lt;&gt;R13,N32&lt;&gt;R12,N32&lt;&gt;R11,N32&lt;&gt;R10,N32&lt;&gt;R9,N32&lt;&gt;R8),N32,IF(AND(O33&lt;&gt;0,N33&lt;&gt;R25,N33&lt;&gt;R24,N33&lt;&gt;R23,N33&lt;&gt;R22,N33&lt;&gt;R21,N33&lt;&gt;R20,N33&lt;&gt;R19,N33&lt;&gt;R18,N33&lt;&gt;R17,N33&lt;&gt;R16,N33&lt;&gt;R15,N33&lt;&gt;R14,N33&lt;&gt;R13,N33&lt;&gt;R12,N33&lt;&gt;R11,N33&lt;&gt;R10,N33&lt;&gt;R9,N33&lt;&gt;R8),N33,IF(AND(O34&lt;&gt;0,N34&lt;&gt;R25,N34&lt;&gt;R24,N34&lt;&gt;R23,N34&lt;&gt;R22,N34&lt;&gt;R21,N34&lt;&gt;R20,N34&lt;&gt;R19,N34&lt;&gt;R18,N34&lt;&gt;R17,N34&lt;&gt;R16,N34&lt;&gt;R15,N34&lt;&gt;R14,N34&lt;&gt;R13,N34&lt;&gt;R12,N34&lt;&gt;R11,N34&lt;&gt;R10,N34&lt;&gt;R9,N34&lt;&gt;R8),N34,IF(AND(O35&lt;&gt;0,N35&lt;&gt;R25,N35&lt;&gt;R24,N35&lt;&gt;R23,N35&lt;&gt;R22,N35&lt;&gt;R21,N35&lt;&gt;R20,N35&lt;&gt;R19,N35&lt;&gt;R18,N35&lt;&gt;R17,N35&lt;&gt;R16,N35&lt;&gt;R15,N35&lt;&gt;R14,N35&lt;&gt;R13,N35&lt;&gt;R12,N35&lt;&gt;R11,N35&lt;&gt;R10,N35&lt;&gt;R9,N35&lt;&gt;R8),N35,IF(AND(O36&lt;&gt;0,N36&lt;&gt;R25,N36&lt;&gt;R24,N36&lt;&gt;R23,N36&lt;&gt;R22,N36&lt;&gt;R21,N36&lt;&gt;R20,N36&lt;&gt;R19,N36&lt;&gt;R18,N36&lt;&gt;R17,N36&lt;&gt;R16,N36&lt;&gt;R15,N36&lt;&gt;R14,N36&lt;&gt;R13,N36&lt;&gt;R12,N36&lt;&gt;R11,N36&lt;&gt;R10,N36&lt;&gt;R9,N36&lt;&gt;R8),N36,IF(AND(O37&lt;&gt;0,N37&lt;&gt;R25,N37&lt;&gt;R24,N37&lt;&gt;R23,N37&lt;&gt;R22,N37&lt;&gt;R21,N37&lt;&gt;R20,N37&lt;&gt;R19,N37&lt;&gt;R18,N37&lt;&gt;R17,N37&lt;&gt;R16,N37&lt;&gt;R15,N37&lt;&gt;R14,N37&lt;&gt;R13,N37&lt;&gt;R12,N37&lt;&gt;R11,N37&lt;&gt;R10,N37&lt;&gt;R9,N37&lt;&gt;R8),N37,""))))))))))))</f>
        <v>0</v>
      </c>
      <c r="S26" s="1274">
        <f ca="1" t="shared" si="1">IF(ISNA(VLOOKUP(R26,$X$8:$Z$41,2,False))=True,"",VLOOKUP(R26,$X$8:$Z$41,2,False))</f>
        <v>0</v>
      </c>
      <c r="T26" s="1274">
        <f ca="1" t="shared" si="2">IF(ISNA(VLOOKUP(R26,$X$8:$Z$41,3,False))=True,"",VLOOKUP(R26,$X$8:$Z$41,3,False))</f>
        <v>0</v>
      </c>
      <c r="U26" s="1275">
        <f ca="1" t="shared" si="3">IF(ISNA(VLOOKUP(R26,$N$8:$O$37,2,False))=True,"",VLOOKUP(R26,$N$8:$O$37,2,False))</f>
        <v>0</v>
      </c>
      <c r="V26" s="2784">
        <f ca="1" t="shared" si="4">_xlfn.IFNA(IF(ISTEXT(VLOOKUP(R26,$B$8:$I$102,4,0)),VLOOKUP(R26,$B$8:$I$102,4,0),YEAR(VLOOKUP(R26,$B$8:$I$102,4,0))),"")</f>
        <v>0</v>
      </c>
      <c r="X26" s="824" t="s">
        <v>856</v>
      </c>
      <c r="Y26" s="1488" t="s">
        <v>954</v>
      </c>
      <c r="Z26" s="837" t="s">
        <v>857</v>
      </c>
    </row>
    <row r="27" spans="1:26" s="231" customFormat="1" ht="25.5" customHeight="1" thickTop="1">
      <c r="A27" s="1741" t="s">
        <v>84</v>
      </c>
      <c r="B27" s="1743" t="s">
        <v>1091</v>
      </c>
      <c r="C27" s="1745" t="s">
        <v>243</v>
      </c>
      <c r="D27" s="1734" t="s">
        <v>1098</v>
      </c>
      <c r="E27" s="1747" t="s">
        <v>244</v>
      </c>
      <c r="F27" s="1734" t="s">
        <v>245</v>
      </c>
      <c r="G27" s="1734" t="s">
        <v>246</v>
      </c>
      <c r="H27" s="1734"/>
      <c r="I27" s="1735"/>
      <c r="J27" s="231"/>
      <c r="K27" s="1736"/>
      <c r="L27" s="1487" t="s">
        <v>961</v>
      </c>
      <c r="M27" s="833" t="s">
        <v>1432</v>
      </c>
      <c r="N27" s="1493" t="s">
        <v>1424</v>
      </c>
      <c r="O27" s="829">
        <f ca="1">SUMIF($B$61:$I$70,N27,$I$61:$I$70)</f>
        <v>0</v>
      </c>
      <c r="P27" s="829"/>
      <c r="Q27" s="829"/>
      <c r="R27" s="1273">
        <f ca="1">IF(AND(O27&lt;&gt;0,N27&lt;&gt;R26,N27&lt;&gt;R25,N27&lt;&gt;R24,N27&lt;&gt;R23,N27&lt;&gt;R22,N27&lt;&gt;R21,N27&lt;&gt;R20,N27&lt;&gt;R19,N27&lt;&gt;R18,N27&lt;&gt;R17,N27&lt;&gt;R16,N27&lt;&gt;R15,N27&lt;&gt;R14,N27&lt;&gt;R13,N27&lt;&gt;R12,N27&lt;&gt;R11,N27&lt;&gt;R10,N27&lt;&gt;R9,N27&lt;&gt;R8),N27,IF(AND(O28&lt;&gt;0,N28&lt;&gt;R26,N28&lt;&gt;R25,N28&lt;&gt;R24,N28&lt;&gt;R23,N28&lt;&gt;R22,N28&lt;&gt;R21,N28&lt;&gt;R20,N28&lt;&gt;R19,N28&lt;&gt;R18,N28&lt;&gt;R17,N28&lt;&gt;R16,N28&lt;&gt;R15,N28&lt;&gt;R14,N28&lt;&gt;R13,N28&lt;&gt;R12,N28&lt;&gt;R11,N28&lt;&gt;R10,N28&lt;&gt;R9,N28&lt;&gt;R8),N28,IF(AND(O29&lt;&gt;0,N29&lt;&gt;R26,N29&lt;&gt;R25,N29&lt;&gt;R24,N29&lt;&gt;R23,N29&lt;&gt;R22,N29&lt;&gt;R21,N29&lt;&gt;R20,N29&lt;&gt;R19,N29&lt;&gt;R18,N29&lt;&gt;R17,N29&lt;&gt;R16,N29&lt;&gt;R15,N29&lt;&gt;R14,N29&lt;&gt;R13,N29&lt;&gt;R12,N29&lt;&gt;R11,N29&lt;&gt;R10,N29&lt;&gt;R9,N29&lt;&gt;R8),N29,IF(AND(O30&lt;&gt;0,N30&lt;&gt;R26,N30&lt;&gt;R25,N30&lt;&gt;R24,N30&lt;&gt;R23,N30&lt;&gt;R22,N30&lt;&gt;R21,N30&lt;&gt;R20,N30&lt;&gt;R19,N30&lt;&gt;R18,N30&lt;&gt;R17,N30&lt;&gt;R16,N30&lt;&gt;R15,N30&lt;&gt;R14,N30&lt;&gt;R13,N30&lt;&gt;R12,N30&lt;&gt;R11,N30&lt;&gt;R10,N30&lt;&gt;R9,N30&lt;&gt;R8),N30,IF(AND(O31&lt;&gt;0,N31&lt;&gt;R26,N31&lt;&gt;R25,N31&lt;&gt;R24,N31&lt;&gt;R23,N31&lt;&gt;R22,N31&lt;&gt;R21,N31&lt;&gt;R20,N31&lt;&gt;R19,N31&lt;&gt;R18,N31&lt;&gt;R17,N31&lt;&gt;R16,N31&lt;&gt;R15,N31&lt;&gt;R14,N31&lt;&gt;R13,N31&lt;&gt;R12,N31&lt;&gt;R11,N31&lt;&gt;R10,N31&lt;&gt;R9,N31&lt;&gt;R8),N31,IF(AND(O32&lt;&gt;0,N32&lt;&gt;R26,N32&lt;&gt;R25,N32&lt;&gt;R24,N32&lt;&gt;R23,N32&lt;&gt;R22,N32&lt;&gt;R21,N32&lt;&gt;R20,N32&lt;&gt;R19,N32&lt;&gt;R18,N32&lt;&gt;R17,N32&lt;&gt;R16,N32&lt;&gt;R15,N32&lt;&gt;R14,N32&lt;&gt;R13,N32&lt;&gt;R12,N32&lt;&gt;R11,N32&lt;&gt;R10,N32&lt;&gt;R9,N32&lt;&gt;R8),N32,IF(AND(O33&lt;&gt;0,N33&lt;&gt;R26,N33&lt;&gt;R25,N33&lt;&gt;R24,N33&lt;&gt;R23,N33&lt;&gt;R22,N33&lt;&gt;R21,N33&lt;&gt;R20,N33&lt;&gt;R19,N33&lt;&gt;R18,N33&lt;&gt;R17,N33&lt;&gt;R16,N33&lt;&gt;R15,N33&lt;&gt;R14,N33&lt;&gt;R13,N33&lt;&gt;R12,N33&lt;&gt;R11,N33&lt;&gt;R10,N33&lt;&gt;R9,N33&lt;&gt;R8),N33,IF(AND(O34&lt;&gt;0,N34&lt;&gt;R26,N34&lt;&gt;R25,N34&lt;&gt;R24,N34&lt;&gt;R23,N34&lt;&gt;R22,N34&lt;&gt;R21,N34&lt;&gt;R20,N34&lt;&gt;R19,N34&lt;&gt;R18,N34&lt;&gt;R17,N34&lt;&gt;R16,N34&lt;&gt;R15,N34&lt;&gt;R14,N34&lt;&gt;R13,N34&lt;&gt;R12,N34&lt;&gt;R11,N34&lt;&gt;R10,N34&lt;&gt;R9,N34&lt;&gt;R8),N34,IF(AND(O35&lt;&gt;0,N35&lt;&gt;R26,N35&lt;&gt;R25,N35&lt;&gt;R24,N35&lt;&gt;R23,N35&lt;&gt;R22,N35&lt;&gt;R21,N35&lt;&gt;R20,N35&lt;&gt;R19,N35&lt;&gt;R18,N35&lt;&gt;R17,N35&lt;&gt;R16,N35&lt;&gt;R15,N35&lt;&gt;R14,N35&lt;&gt;R13,N35&lt;&gt;R12,N35&lt;&gt;R11,N35&lt;&gt;R10,N35&lt;&gt;R9,N35&lt;&gt;R8),N35,IF(AND(O36&lt;&gt;0,N36&lt;&gt;R26,N36&lt;&gt;R25,N36&lt;&gt;R24,N36&lt;&gt;R23,N36&lt;&gt;R22,N36&lt;&gt;R21,N36&lt;&gt;R20,N36&lt;&gt;R19,N36&lt;&gt;R18,N36&lt;&gt;R17,N36&lt;&gt;R16,N36&lt;&gt;R15,N36&lt;&gt;R14,N36&lt;&gt;R13,N36&lt;&gt;R12,N36&lt;&gt;R11,N36&lt;&gt;R10,N36&lt;&gt;R9,N36&lt;&gt;R8),N36,IF(AND(O37&lt;&gt;0,N37&lt;&gt;R26,N37&lt;&gt;R25,N37&lt;&gt;R24,N37&lt;&gt;R23,N37&lt;&gt;R22,N37&lt;&gt;R21,N37&lt;&gt;R20,N37&lt;&gt;R19,N37&lt;&gt;R18,N37&lt;&gt;R17,N37&lt;&gt;R16,N37&lt;&gt;R15,N37&lt;&gt;R14,N37&lt;&gt;R13,N37&lt;&gt;R12,N37&lt;&gt;R11,N37&lt;&gt;R10,N37&lt;&gt;R9,N37&lt;&gt;R8),N37,"")))))))))))</f>
        <v>0</v>
      </c>
      <c r="S27" s="1274">
        <f ca="1" t="shared" si="1">IF(ISNA(VLOOKUP(R27,$X$8:$Z$41,2,False))=True,"",VLOOKUP(R27,$X$8:$Z$41,2,False))</f>
        <v>0</v>
      </c>
      <c r="T27" s="1274">
        <f ca="1" t="shared" si="2">IF(ISNA(VLOOKUP(R27,$X$8:$Z$41,3,False))=True,"",VLOOKUP(R27,$X$8:$Z$41,3,False))</f>
        <v>0</v>
      </c>
      <c r="U27" s="1275">
        <f ca="1" t="shared" si="3">IF(ISNA(VLOOKUP(R27,$N$8:$O$37,2,False))=True,"",VLOOKUP(R27,$N$8:$O$37,2,False))</f>
        <v>0</v>
      </c>
      <c r="V27" s="2785">
        <f ca="1" t="shared" si="4">_xlfn.IFNA(IF(ISTEXT(VLOOKUP(R27,$B$8:$I$102,4,0)),VLOOKUP(R27,$B$8:$I$102,4,0),YEAR(VLOOKUP(R27,$B$8:$I$102,4,0))),"")</f>
        <v>0</v>
      </c>
      <c r="X27" s="834" t="s">
        <v>1424</v>
      </c>
      <c r="Y27" s="1487" t="s">
        <v>961</v>
      </c>
      <c r="Z27" s="835" t="s">
        <v>1432</v>
      </c>
    </row>
    <row r="28" spans="1:26" s="231" customFormat="1" ht="26.25" customHeight="1">
      <c r="A28" s="1742"/>
      <c r="B28" s="1744"/>
      <c r="C28" s="1746"/>
      <c r="D28" s="822"/>
      <c r="E28" s="1748"/>
      <c r="F28" s="822"/>
      <c r="G28" s="822" t="s">
        <v>247</v>
      </c>
      <c r="H28" s="822" t="s">
        <v>248</v>
      </c>
      <c r="I28" s="823" t="s">
        <v>249</v>
      </c>
      <c r="J28" s="231"/>
      <c r="K28" s="1736" t="s">
        <v>858</v>
      </c>
      <c r="L28" s="1488" t="s">
        <v>955</v>
      </c>
      <c r="M28" s="830" t="s">
        <v>1433</v>
      </c>
      <c r="N28" s="1494" t="s">
        <v>859</v>
      </c>
      <c r="O28" s="841">
        <f ca="1" t="shared" si="6" ref="O28:O33">SUMIF($B$77:$I$86,N28,$I$77:$I$86)</f>
        <v>0</v>
      </c>
      <c r="P28" s="829"/>
      <c r="Q28" s="829"/>
      <c r="R28" s="1273">
        <f ca="1">IF(AND(O28&lt;&gt;0,N28&lt;&gt;R27,N28&lt;&gt;R26,N28&lt;&gt;R25,N28&lt;&gt;R24,N28&lt;&gt;R23,N28&lt;&gt;R22,N28&lt;&gt;R21,N28&lt;&gt;R20,N28&lt;&gt;R19,N28&lt;&gt;R18,N28&lt;&gt;R17,N28&lt;&gt;R16,N28&lt;&gt;R15,N28&lt;&gt;R14,N28&lt;&gt;R13,N28&lt;&gt;R12,N28&lt;&gt;R11,N28&lt;&gt;R10,N28&lt;&gt;R9,N28&lt;&gt;R8),N28,IF(AND(O29&lt;&gt;0,N29&lt;&gt;R27,N29&lt;&gt;R26,N29&lt;&gt;R25,N29&lt;&gt;R24,N29&lt;&gt;R23,N29&lt;&gt;R22,N29&lt;&gt;R21,N29&lt;&gt;R20,N29&lt;&gt;R19,N29&lt;&gt;R18,N29&lt;&gt;R17,N29&lt;&gt;R16,N29&lt;&gt;R15,N29&lt;&gt;R14,N29&lt;&gt;R13,N29&lt;&gt;R12,N29&lt;&gt;R11,N29&lt;&gt;R10,N29&lt;&gt;R9,N29&lt;&gt;R8),N29,IF(AND(O30&lt;&gt;0,N30&lt;&gt;R27,N30&lt;&gt;R26,N30&lt;&gt;R25,N30&lt;&gt;R24,N30&lt;&gt;R23,N30&lt;&gt;R22,N30&lt;&gt;R21,N30&lt;&gt;R20,N30&lt;&gt;R19,N30&lt;&gt;R18,N30&lt;&gt;R17,N30&lt;&gt;R16,N30&lt;&gt;R15,N30&lt;&gt;R14,N30&lt;&gt;R13,N30&lt;&gt;R12,N30&lt;&gt;R11,N30&lt;&gt;R10,N30&lt;&gt;R9,N30&lt;&gt;R8),N30,IF(AND(O31&lt;&gt;0,N31&lt;&gt;R27,N31&lt;&gt;R26,N31&lt;&gt;R25,N31&lt;&gt;R24,N31&lt;&gt;R23,N31&lt;&gt;R22,N31&lt;&gt;R21,N31&lt;&gt;R20,N31&lt;&gt;R19,N31&lt;&gt;R18,N31&lt;&gt;R17,N31&lt;&gt;R16,N31&lt;&gt;R15,N31&lt;&gt;R14,N31&lt;&gt;R13,N31&lt;&gt;R12,N31&lt;&gt;R11,N31&lt;&gt;R10,N31&lt;&gt;R9,N31&lt;&gt;R8),N31,IF(AND(O32&lt;&gt;0,N32&lt;&gt;R27,N32&lt;&gt;R26,N32&lt;&gt;R25,N32&lt;&gt;R24,N32&lt;&gt;R23,N32&lt;&gt;R22,N32&lt;&gt;R21,N32&lt;&gt;R20,N32&lt;&gt;R19,N32&lt;&gt;R18,N32&lt;&gt;R17,N32&lt;&gt;R16,N32&lt;&gt;R15,N32&lt;&gt;R14,N32&lt;&gt;R13,N32&lt;&gt;R12,N32&lt;&gt;R11,N32&lt;&gt;R10,N32&lt;&gt;R9,N32&lt;&gt;R8),N32,IF(AND(O33&lt;&gt;0,N33&lt;&gt;R27,N33&lt;&gt;R26,N33&lt;&gt;R25,N33&lt;&gt;R24,N33&lt;&gt;R23,N33&lt;&gt;R22,N33&lt;&gt;R21,N33&lt;&gt;R20,N33&lt;&gt;R19,N33&lt;&gt;R18,N33&lt;&gt;R17,N33&lt;&gt;R16,N33&lt;&gt;R15,N33&lt;&gt;R14,N33&lt;&gt;R13,N33&lt;&gt;R12,N33&lt;&gt;R11,N33&lt;&gt;R10,N33&lt;&gt;R9,N33&lt;&gt;R8),N33,IF(AND(O34&lt;&gt;0,N34&lt;&gt;R27,N34&lt;&gt;R26,N34&lt;&gt;R25,N34&lt;&gt;R24,N34&lt;&gt;R23,N34&lt;&gt;R22,N34&lt;&gt;R21,N34&lt;&gt;R20,N34&lt;&gt;R19,N34&lt;&gt;R18,N34&lt;&gt;R17,N34&lt;&gt;R16,N34&lt;&gt;R15,N34&lt;&gt;R14,N34&lt;&gt;R13,N34&lt;&gt;R12,N34&lt;&gt;R11,N34&lt;&gt;R10,N34&lt;&gt;R9,N34&lt;&gt;R8),N34,IF(AND(O35&lt;&gt;0,N35&lt;&gt;R27,N35&lt;&gt;R26,N35&lt;&gt;R25,N35&lt;&gt;R24,N35&lt;&gt;R23,N35&lt;&gt;R22,N35&lt;&gt;R21,N35&lt;&gt;R20,N35&lt;&gt;R19,N35&lt;&gt;R18,N35&lt;&gt;R17,N35&lt;&gt;R16,N35&lt;&gt;R15,N35&lt;&gt;R14,N35&lt;&gt;R13,N35&lt;&gt;R12,N35&lt;&gt;R11,N35&lt;&gt;R10,N35&lt;&gt;R9,N35&lt;&gt;R8),N35,IF(AND(O36&lt;&gt;0,N36&lt;&gt;R27,N36&lt;&gt;R26,N36&lt;&gt;R25,N36&lt;&gt;R24,N36&lt;&gt;R23,N36&lt;&gt;R22,N36&lt;&gt;R21,N36&lt;&gt;R20,N36&lt;&gt;R19,N36&lt;&gt;R18,N36&lt;&gt;R17,N36&lt;&gt;R16,N36&lt;&gt;R15,N36&lt;&gt;R14,N36&lt;&gt;R13,N36&lt;&gt;R12,N36&lt;&gt;R11,N36&lt;&gt;R10,N36&lt;&gt;R9,N36&lt;&gt;R8),N36,IF(AND(O37&lt;&gt;0,N37&lt;&gt;R27,N37&lt;&gt;R26,N37&lt;&gt;R25,N37&lt;&gt;R24,N37&lt;&gt;R23,N37&lt;&gt;R22,N37&lt;&gt;R21,N37&lt;&gt;R20,N37&lt;&gt;R19,N37&lt;&gt;R18,N37&lt;&gt;R17,N37&lt;&gt;R16,N37&lt;&gt;R15,N37&lt;&gt;R14,N37&lt;&gt;R13,N37&lt;&gt;R12,N37&lt;&gt;R11,N37&lt;&gt;R10,N37&lt;&gt;R9,37&lt;&gt;R8),N37,""))))))))))</f>
        <v>0</v>
      </c>
      <c r="S28" s="1274">
        <f ca="1" t="shared" si="1">IF(ISNA(VLOOKUP(R28,$X$8:$Z$41,2,False))=True,"",VLOOKUP(R28,$X$8:$Z$41,2,False))</f>
        <v>0</v>
      </c>
      <c r="T28" s="1274">
        <f ca="1" t="shared" si="2">IF(ISNA(VLOOKUP(R28,$X$8:$Z$41,3,False))=True,"",VLOOKUP(R28,$X$8:$Z$41,3,False))</f>
        <v>0</v>
      </c>
      <c r="U28" s="1275">
        <f ca="1" t="shared" si="3">IF(ISNA(VLOOKUP(R28,$N$8:$O$37,2,False))=True,"",VLOOKUP(R28,$N$8:$O$37,2,False))</f>
        <v>0</v>
      </c>
      <c r="V28" s="2785">
        <f ca="1" t="shared" si="4">_xlfn.IFNA(IF(ISTEXT(VLOOKUP(R28,$B$8:$I$102,4,0)),VLOOKUP(R28,$B$8:$I$102,4,0),YEAR(VLOOKUP(R28,$B$8:$I$102,4,0))),"")</f>
        <v>0</v>
      </c>
      <c r="X28" s="824" t="s">
        <v>859</v>
      </c>
      <c r="Y28" s="1488" t="s">
        <v>955</v>
      </c>
      <c r="Z28" s="837" t="s">
        <v>1433</v>
      </c>
    </row>
    <row r="29" spans="1:26" ht="15" customHeight="1">
      <c r="A29" s="1224">
        <v>1</v>
      </c>
      <c r="B29" s="1504" t="s">
        <v>833</v>
      </c>
      <c r="C29" s="826" t="s">
        <v>1459</v>
      </c>
      <c r="D29" s="826" t="s">
        <v>1454</v>
      </c>
      <c r="E29" s="1455">
        <v>44182</v>
      </c>
      <c r="F29" s="815" t="s">
        <v>509</v>
      </c>
      <c r="G29" s="232">
        <v>1000</v>
      </c>
      <c r="H29" s="900">
        <v>14136</v>
      </c>
      <c r="I29" s="827">
        <f t="shared" si="7" ref="I29:I38">G29*H29</f>
        <v>0</v>
      </c>
      <c r="K29" s="1736"/>
      <c r="L29" s="1488" t="s">
        <v>956</v>
      </c>
      <c r="M29" s="830" t="s">
        <v>1434</v>
      </c>
      <c r="N29" s="1495" t="s">
        <v>860</v>
      </c>
      <c r="O29" s="841">
        <f ca="1" t="shared" si="6">SUMIF($B$77:$I$86,N29,$I$77:$I$86)</f>
        <v>0</v>
      </c>
      <c r="P29" s="829"/>
      <c r="Q29" s="829"/>
      <c r="R29" s="1273">
        <f ca="1">IF(AND(O29&lt;&gt;0,N29&lt;&gt;R28,N29&lt;&gt;R27,N29&lt;&gt;R26,N29&lt;&gt;R25,N29&lt;&gt;R24,N29&lt;&gt;R23,N29&lt;&gt;R22,N29&lt;&gt;R21,N29&lt;&gt;R20,N29&lt;&gt;R19,N29&lt;&gt;R18,N29&lt;&gt;R17,N29&lt;&gt;R16,N29&lt;&gt;R15,N29&lt;&gt;R14,N29&lt;&gt;R13,N29&lt;&gt;R12,N29&lt;&gt;R11,N29&lt;&gt;R10,N29&lt;&gt;R9,N29&lt;&gt;R8),N29,IF(AND(O30&lt;&gt;0,N30&lt;&gt;R28,N30&lt;&gt;R27,N30&lt;&gt;R26,N30&lt;&gt;R25,N30&lt;&gt;R24,N30&lt;&gt;R23,N30&lt;&gt;R22,N30&lt;&gt;R21,N30&lt;&gt;R20,N30&lt;&gt;R19,N30&lt;&gt;R18,N30&lt;&gt;R17,N30&lt;&gt;R16,N30&lt;&gt;R15,N30&lt;&gt;R14,N30&lt;&gt;R13,N30&lt;&gt;R12,N30&lt;&gt;R11,N30&lt;&gt;R10,N30&lt;&gt;R9,N30&lt;&gt;R8),N30,IF(AND(O31&lt;&gt;0,N31&lt;&gt;R28,N31&lt;&gt;R27,N31&lt;&gt;R26,N31&lt;&gt;R25,N31&lt;&gt;R24,N31&lt;&gt;R23,N31&lt;&gt;R22,N31&lt;&gt;R21,N31&lt;&gt;R20,N31&lt;&gt;R19,N31&lt;&gt;R18,N31&lt;&gt;R17,N31&lt;&gt;R16,N31&lt;&gt;R15,N31&lt;&gt;R14,N31&lt;&gt;R13,N31&lt;&gt;R12,N31&lt;&gt;R11,N31&lt;&gt;R10,N31&lt;&gt;R9,N31&lt;&gt;R8),N31,IF(AND(O32&lt;&gt;0,N32&lt;&gt;R28,N32&lt;&gt;R27,N32&lt;&gt;R26,N32&lt;&gt;R25,N32&lt;&gt;R24,N32&lt;&gt;R23,N32&lt;&gt;R22,N32&lt;&gt;R21,N32&lt;&gt;R20,N32&lt;&gt;R19,N32&lt;&gt;R18,N32&lt;&gt;R17,N32&lt;&gt;R16,N32&lt;&gt;R15,N32&lt;&gt;R14,N32&lt;&gt;R13,N32&lt;&gt;R12,N32&lt;&gt;R11,N32&lt;&gt;R10,N32&lt;&gt;R9,N32&lt;&gt;R8),N32,IF(AND(O33&lt;&gt;0,N33&lt;&gt;R28,N33&lt;&gt;R27,N33&lt;&gt;R26,N33&lt;&gt;R25,N33&lt;&gt;R24,N33&lt;&gt;R23,N33&lt;&gt;R22,N33&lt;&gt;R21,N33&lt;&gt;R20,N33&lt;&gt;R19,N33&lt;&gt;R18,N33&lt;&gt;R17,N33&lt;&gt;R16,N33&lt;&gt;R15,N33&lt;&gt;R14,N33&lt;&gt;R13,N33&lt;&gt;R12,N33&lt;&gt;R11,N33&lt;&gt;R10,N33&lt;&gt;R9,N33&lt;&gt;R8),N33,IF(AND(O34&lt;&gt;0,N34&lt;&gt;R28,N34&lt;&gt;R27,N34&lt;&gt;R26,N34&lt;&gt;R25,N34&lt;&gt;R24,N34&lt;&gt;R23,N34&lt;&gt;R22,N34&lt;&gt;R21,N34&lt;&gt;R20,N34&lt;&gt;R19,N34&lt;&gt;R18,N34&lt;&gt;R17,N34&lt;&gt;R16,N34&lt;&gt;R15,N34&lt;&gt;R14,N34&lt;&gt;R13,N34&lt;&gt;R12,N34&lt;&gt;R11,N34&lt;&gt;R10,N34&lt;&gt;R9,N34&lt;&gt;R8),N34,IF(AND(O35&lt;&gt;0,N35&lt;&gt;R28,N35&lt;&gt;R27,N35&lt;&gt;R26,N35&lt;&gt;R25,N35&lt;&gt;R24,N35&lt;&gt;R23,N35&lt;&gt;R22,N35&lt;&gt;R21,N35&lt;&gt;R20,N35&lt;&gt;R19,N35&lt;&gt;R18,N35&lt;&gt;R17,N35&lt;&gt;R16,N35&lt;&gt;R15,N35&lt;&gt;R14,N35&lt;&gt;R13,N35&lt;&gt;R12,N35&lt;&gt;R11,N35&lt;&gt;R10,N35&lt;&gt;R9,N35&lt;&gt;R8),N35,IF(AND(O36&lt;&gt;0,N36&lt;&gt;R28,N36&lt;&gt;R27,N36&lt;&gt;R26,N36&lt;&gt;R25,N36&lt;&gt;R24,N36&lt;&gt;R23,N36&lt;&gt;R22,N36&lt;&gt;R21,N36&lt;&gt;R20,N36&lt;&gt;R19,N36&lt;&gt;R18,N36&lt;&gt;R17,N36&lt;&gt;R16,N36&lt;&gt;R15,N36&lt;&gt;R14,N36&lt;&gt;R13,N36&lt;&gt;R12,N36&lt;&gt;R11,N36&lt;&gt;R10,N36&lt;&gt;R9,N36&lt;&gt;R8),N36,IF(AND(O37&lt;&gt;0,N37&lt;&gt;R28,N37&lt;&gt;R27,N37&lt;&gt;R26,N37&lt;&gt;R25,N37&lt;&gt;R24,N37&lt;&gt;R23,N37&lt;&gt;R22,N37&lt;&gt;R21,N37&lt;&gt;R20,N37&lt;&gt;R19,N37&lt;&gt;R18,N37&lt;&gt;R17,N37&lt;&gt;R16,N37&lt;&gt;R15,N37&lt;&gt;R14,N37&lt;&gt;R13,N37&lt;&gt;R12,N37&lt;&gt;R11,N37&lt;&gt;R10,N37&lt;&gt;R9,N37&lt;&gt;R8),N37,"")))))))))</f>
        <v>0</v>
      </c>
      <c r="S29" s="1274">
        <f ca="1" t="shared" si="1">IF(ISNA(VLOOKUP(R29,$X$8:$Z$41,2,False))=True,"",VLOOKUP(R29,$X$8:$Z$41,2,False))</f>
        <v>0</v>
      </c>
      <c r="T29" s="1274">
        <f ca="1" t="shared" si="2">IF(ISNA(VLOOKUP(R29,$X$8:$Z$41,3,False))=True,"",VLOOKUP(R29,$X$8:$Z$41,3,False))</f>
        <v>0</v>
      </c>
      <c r="U29" s="1275">
        <f ca="1" t="shared" si="3">IF(ISNA(VLOOKUP(R29,$N$8:$O$37,2,False))=True,"",VLOOKUP(R29,$N$8:$O$37,2,False))</f>
        <v>0</v>
      </c>
      <c r="V29" s="2784">
        <f ca="1" t="shared" si="4">_xlfn.IFNA(IF(ISTEXT(VLOOKUP(R29,$B$8:$I$102,4,0)),VLOOKUP(R29,$B$8:$I$102,4,0),YEAR(VLOOKUP(R29,$B$8:$I$102,4,0))),"")</f>
        <v>0</v>
      </c>
      <c r="X29" s="842" t="s">
        <v>860</v>
      </c>
      <c r="Y29" s="1488" t="s">
        <v>956</v>
      </c>
      <c r="Z29" s="837" t="s">
        <v>1434</v>
      </c>
    </row>
    <row r="30" spans="1:26" ht="15" customHeight="1">
      <c r="A30" s="1224">
        <v>2</v>
      </c>
      <c r="B30" s="1504" t="s">
        <v>835</v>
      </c>
      <c r="C30" s="826" t="s">
        <v>960</v>
      </c>
      <c r="D30" s="826" t="s">
        <v>1460</v>
      </c>
      <c r="E30" s="1455">
        <v>44180</v>
      </c>
      <c r="F30" s="815" t="s">
        <v>509</v>
      </c>
      <c r="G30" s="232">
        <v>3333</v>
      </c>
      <c r="H30" s="900">
        <v>14333</v>
      </c>
      <c r="I30" s="827">
        <f t="shared" si="7">G30*H30</f>
        <v>0</v>
      </c>
      <c r="K30" s="1736"/>
      <c r="L30" s="1488" t="s">
        <v>957</v>
      </c>
      <c r="M30" s="830" t="s">
        <v>1435</v>
      </c>
      <c r="N30" s="1495" t="s">
        <v>861</v>
      </c>
      <c r="O30" s="841">
        <f ca="1" t="shared" si="6">SUMIF($B$77:$I$86,N30,$I$77:$I$86)</f>
        <v>0</v>
      </c>
      <c r="P30" s="829"/>
      <c r="Q30" s="829"/>
      <c r="R30" s="1273">
        <f ca="1">IF(AND(O30&lt;&gt;0,N30&lt;&gt;R29,N30&lt;&gt;R28,N30&lt;&gt;R27,N30&lt;&gt;R26,N30&lt;&gt;R25,N30&lt;&gt;R24,N30&lt;&gt;R23,N30&lt;&gt;R22,N30&lt;&gt;R21,N30&lt;&gt;R20,N30&lt;&gt;R19,N30&lt;&gt;R18,N30&lt;&gt;R17,N30&lt;&gt;R16,N30&lt;&gt;R15,N30&lt;&gt;R14,N30&lt;&gt;R13,N30&lt;&gt;R12,N30&lt;&gt;R11,N30&lt;&gt;R10,N30&lt;&gt;R9,N30&lt;&gt;R8),N30,IF(AND(O31&lt;&gt;0,N31&lt;&gt;R29,N31&lt;&gt;R28,N31&lt;&gt;R27,N31&lt;&gt;R26,N31&lt;&gt;R25,N31&lt;&gt;R24,N31&lt;&gt;R23,N31&lt;&gt;R22,N31&lt;&gt;R21,N31&lt;&gt;R20,N31&lt;&gt;R19,N31&lt;&gt;R18,N31&lt;&gt;R17,N31&lt;&gt;R16,N31&lt;&gt;R15,N31&lt;&gt;R14,N31&lt;&gt;R13,N31&lt;&gt;R12,N31&lt;&gt;R11,N31&lt;&gt;R10,N31&lt;&gt;R9,N31&lt;&gt;R8),N31,IF(AND(O32&lt;&gt;0,N32&lt;&gt;R29,N32&lt;&gt;R28,N32&lt;&gt;R27,N32&lt;&gt;R26,N32&lt;&gt;R25,N32&lt;&gt;R24,N32&lt;&gt;R23,N32&lt;&gt;R22,N32&lt;&gt;R21,N32&lt;&gt;R20,N32&lt;&gt;R19,N32&lt;&gt;R18,N32&lt;&gt;R17,N32&lt;&gt;R16,N32&lt;&gt;R15,N32&lt;&gt;R14,N32&lt;&gt;R13,N32&lt;&gt;R12,N32&lt;&gt;R11,N32&lt;&gt;R10,N32&lt;&gt;R9,N32&lt;&gt;R8),N32,IF(AND(O33&lt;&gt;0,N33&lt;&gt;R29,N33&lt;&gt;R28,N33&lt;&gt;R27,N33&lt;&gt;R26,N33&lt;&gt;R25,N33&lt;&gt;R24,N33&lt;&gt;R23,N33&lt;&gt;R22,N33&lt;&gt;R21,N33&lt;&gt;R20,N33&lt;&gt;R19,N33&lt;&gt;R18,N33&lt;&gt;R17,N33&lt;&gt;R16,N33&lt;&gt;R15,N33&lt;&gt;R14,N33&lt;&gt;R13,N33&lt;&gt;R12,N33&lt;&gt;R11,N33&lt;&gt;R10,N33&lt;&gt;R9,N33&lt;&gt;R8),N33,IF(AND(O34&lt;&gt;0,N34&lt;&gt;R29,N34&lt;&gt;R28,N34&lt;&gt;R27,N34&lt;&gt;R26,N34&lt;&gt;R25,N34&lt;&gt;R24,N34&lt;&gt;R23,N34&lt;&gt;R22,N34&lt;&gt;R21,N34&lt;&gt;R20,N34&lt;&gt;R19,N34&lt;&gt;R18,N34&lt;&gt;R17,N34&lt;&gt;R16,N34&lt;&gt;R15,N34&lt;&gt;R14,N34&lt;&gt;R13,N34&lt;&gt;R12,N34&lt;&gt;R11,N34&lt;&gt;R10,N34&lt;&gt;R9,N34&lt;&gt;R8),N34,IF(AND(O35&lt;&gt;0,N35&lt;&gt;R29,N35&lt;&gt;R28,N35&lt;&gt;R27,N35&lt;&gt;R26,N35&lt;&gt;R25,N35&lt;&gt;R24,N35&lt;&gt;R23,N35&lt;&gt;R22,N35&lt;&gt;R21,N35&lt;&gt;R20,N35&lt;&gt;R19,N35&lt;&gt;R18,N35&lt;&gt;R17,N35&lt;&gt;R16,N35&lt;&gt;R15,N35&lt;&gt;R14,N35&lt;&gt;R13,N35&lt;&gt;R12,N35&lt;&gt;R11,N35&lt;&gt;R10,N35&lt;&gt;R9,N35&lt;&gt;R8),N35,IF(AND(O36&lt;&gt;0,N36&lt;&gt;R29,N36&lt;&gt;R28,N36&lt;&gt;R27,N36&lt;&gt;R26,N36&lt;&gt;R25,N36&lt;&gt;R24,N36&lt;&gt;R23,N36&lt;&gt;R22,N36&lt;&gt;R21,N36&lt;&gt;R20,N36&lt;&gt;R19,N36&lt;&gt;R18,N36&lt;&gt;R17,N36&lt;&gt;R16,N36&lt;&gt;R15,N36&lt;&gt;R14,N36&lt;&gt;R13,N36&lt;&gt;R12,N36&lt;&gt;R11,N36&lt;&gt;R10,N36&lt;&gt;R9,N36&lt;&gt;R8),N36,IF(AND(O37&lt;&gt;0,N37&lt;&gt;R29,N37&lt;&gt;R28,N37&lt;&gt;R27,N37&lt;&gt;R26,N37&lt;&gt;R25,N37&lt;&gt;R24,N37&lt;&gt;R23,N37&lt;&gt;R22,N37&lt;&gt;R21,N37&lt;&gt;R20,N37&lt;&gt;R19,N37&lt;&gt;R18,N37&lt;&gt;R17,N37&lt;&gt;R16,N37&lt;&gt;R15,N37&lt;&gt;R14,N37&lt;&gt;R13,N37&lt;&gt;R12,N37&lt;&gt;R11,N37&lt;&gt;R10,N37&lt;&gt;R9,N37&lt;&gt;R8),N37,""))))))))</f>
        <v>0</v>
      </c>
      <c r="S30" s="1274">
        <f ca="1" t="shared" si="1">IF(ISNA(VLOOKUP(R30,$X$8:$Z$41,2,False))=True,"",VLOOKUP(R30,$X$8:$Z$41,2,False))</f>
        <v>0</v>
      </c>
      <c r="T30" s="1274">
        <f ca="1" t="shared" si="2">IF(ISNA(VLOOKUP(R30,$X$8:$Z$41,3,False))=True,"",VLOOKUP(R30,$X$8:$Z$41,3,False))</f>
        <v>0</v>
      </c>
      <c r="U30" s="1275">
        <f ca="1" t="shared" si="3">IF(ISNA(VLOOKUP(R30,$N$8:$O$37,2,False))=True,"",VLOOKUP(R30,$N$8:$O$37,2,False))</f>
        <v>0</v>
      </c>
      <c r="V30" s="2784">
        <f ca="1" t="shared" si="4">_xlfn.IFNA(IF(ISTEXT(VLOOKUP(R30,$B$8:$I$102,4,0)),VLOOKUP(R30,$B$8:$I$102,4,0),YEAR(VLOOKUP(R30,$B$8:$I$102,4,0))),"")</f>
        <v>0</v>
      </c>
      <c r="X30" s="842" t="s">
        <v>861</v>
      </c>
      <c r="Y30" s="1488" t="s">
        <v>957</v>
      </c>
      <c r="Z30" s="837" t="s">
        <v>1435</v>
      </c>
    </row>
    <row r="31" spans="1:26" ht="15" customHeight="1">
      <c r="A31" s="1224">
        <v>3</v>
      </c>
      <c r="B31" s="1504"/>
      <c r="C31" s="826"/>
      <c r="D31" s="826"/>
      <c r="E31" s="1455"/>
      <c r="F31" s="815"/>
      <c r="G31" s="232"/>
      <c r="H31" s="900"/>
      <c r="I31" s="827">
        <f t="shared" si="7">G31*H31</f>
        <v>0</v>
      </c>
      <c r="K31" s="1736"/>
      <c r="L31" s="1488" t="s">
        <v>958</v>
      </c>
      <c r="M31" s="830" t="s">
        <v>1436</v>
      </c>
      <c r="N31" s="1495" t="s">
        <v>862</v>
      </c>
      <c r="O31" s="841">
        <f ca="1" t="shared" si="6">SUMIF($B$77:$I$86,N31,$I$77:$I$86)</f>
        <v>0</v>
      </c>
      <c r="P31" s="829"/>
      <c r="Q31" s="829"/>
      <c r="R31" s="1273">
        <f ca="1">IF(AND(O31&lt;&gt;0,N31&lt;&gt;R30,N31&lt;&gt;R29,N31&lt;&gt;R28,N31&lt;&gt;R27,N31&lt;&gt;R26,N31&lt;&gt;R25,N31&lt;&gt;R24,N31&lt;&gt;R23,N31&lt;&gt;R22,N31&lt;&gt;R21,N31&lt;&gt;R20,N31&lt;&gt;R19,N31&lt;&gt;R18,N31&lt;&gt;R17,N31&lt;&gt;R16,N31&lt;&gt;R15,N31&lt;&gt;R14,N31&lt;&gt;R13,N31&lt;&gt;R12,N31&lt;&gt;R11,N31&lt;&gt;R10,N31&lt;&gt;R9),N31,IF(AND(O32&lt;&gt;0,N32&lt;&gt;R30,N32&lt;&gt;R29,N32&lt;&gt;R28,N32&lt;&gt;R27,N32&lt;&gt;R26,N32&lt;&gt;R25,N32&lt;&gt;R24,N32&lt;&gt;R23,N32&lt;&gt;R22,N32&lt;&gt;R21,N32&lt;&gt;R20,N32&lt;&gt;R19,N32&lt;&gt;R18,N32&lt;&gt;R17,N32&lt;&gt;R16,N32&lt;&gt;R15,N32&lt;&gt;R14,N32&lt;&gt;R13,N32&lt;&gt;R12,N32&lt;&gt;R11,N32&lt;&gt;R10,N32&lt;&gt;R9),N32,IF(AND(O33&lt;&gt;0,N33&lt;&gt;R30,N33&lt;&gt;R29,N33&lt;&gt;R28,N33&lt;&gt;R27,N33&lt;&gt;R26,N33&lt;&gt;R25,N33&lt;&gt;R24,N33&lt;&gt;R23,N33&lt;&gt;R22,N33&lt;&gt;R21,N33&lt;&gt;R20,N33&lt;&gt;R19,N33&lt;&gt;R18,N33&lt;&gt;R17,N33&lt;&gt;R16,N33&lt;&gt;R15,N33&lt;&gt;R14,N33&lt;&gt;R13,N33&lt;&gt;R12,N33&lt;&gt;R11,N33&lt;&gt;R10,N33&lt;&gt;R9),N33,IF(AND(O34&lt;&gt;0,N34&lt;&gt;R30,N34&lt;&gt;R29,N34&lt;&gt;R28,N34&lt;&gt;R27,N34&lt;&gt;R26,N34&lt;&gt;R25,N34&lt;&gt;R24,N34&lt;&gt;R23,N34&lt;&gt;R22,N34&lt;&gt;R21,N34&lt;&gt;R20,N34&lt;&gt;R19,N34&lt;&gt;R18,N34&lt;&gt;R17,N34&lt;&gt;R16,N34&lt;&gt;R15,N34&lt;&gt;R14,N34&lt;&gt;R13,N34&lt;&gt;R12,N34&lt;&gt;R11,N34&lt;&gt;R10,N34&lt;&gt;R9),N34,IF(AND(O35&lt;&gt;0,N35&lt;&gt;R30,N35&lt;&gt;R29,N35&lt;&gt;R28,N35&lt;&gt;R27,N35&lt;&gt;R26,N35&lt;&gt;R25,N35&lt;&gt;R24,N35&lt;&gt;R23,N35&lt;&gt;R22,N35&lt;&gt;R21,N35&lt;&gt;R20,N35&lt;&gt;R19,N35&lt;&gt;R18,N35&lt;&gt;R17,N35&lt;&gt;R16,N35&lt;&gt;R15,N35&lt;&gt;R14,N35&lt;&gt;R13,N35&lt;&gt;R12,N35&lt;&gt;R11,N35&lt;&gt;R10,N35&lt;&gt;R9),N35,IF(AND(O36&lt;&gt;0,N36&lt;&gt;R30,N36&lt;&gt;R29,N36&lt;&gt;R28,N36&lt;&gt;R27,N36&lt;&gt;R26,N36&lt;&gt;R25,N36&lt;&gt;R24,N36&lt;&gt;R23,N36&lt;&gt;R22,N36&lt;&gt;R21,N36&lt;&gt;R20,N36&lt;&gt;R19,N36&lt;&gt;R18,N36&lt;&gt;R17,N36&lt;&gt;R16,N36&lt;&gt;R15,N36&lt;&gt;R14,N36&lt;&gt;R13,N36&lt;&gt;R12,N36&lt;&gt;R11,N36&lt;&gt;R10,N36&lt;&gt;R9),N36,IF(AND(O37&lt;&gt;0,N37&lt;&gt;R30,N37&lt;&gt;R29,N37&lt;&gt;R28,N37&lt;&gt;R27,N37&lt;&gt;R26,N37&lt;&gt;R25,N37&lt;&gt;R24,N37&lt;&gt;R23,N37&lt;&gt;R22,N37&lt;&gt;R21,N37&lt;&gt;R20,N37&lt;&gt;R19,N37&lt;&gt;R18,N37&lt;&gt;R17,N37&lt;&gt;R16,N37&lt;&gt;R15,N37&lt;&gt;R14,N37&lt;&gt;R13,N37&lt;&gt;R12,N37&lt;&gt;R11,N37&lt;&gt;R10,N37&lt;&gt;R9),N37,IF(AND(O38&lt;&gt;0,N38&lt;&gt;R30,N38&lt;&gt;R29,N38&lt;&gt;R28,N38&lt;&gt;R27,N38&lt;&gt;R26,N38&lt;&gt;R25,N38&lt;&gt;R24,N38&lt;&gt;R23,N38&lt;&gt;R22,N38&lt;&gt;R21,N38&lt;&gt;R20,N38&lt;&gt;R19,N38&lt;&gt;R18,N38&lt;&gt;R17,N38&lt;&gt;R16,N38&lt;&gt;R15,N38&lt;&gt;R14,N38&lt;&gt;R13,N38&lt;&gt;R12,N38&lt;&gt;R11,N38&lt;&gt;R10,N38&lt;&gt;R9),N38,""))))))))</f>
        <v>0</v>
      </c>
      <c r="S31" s="1274">
        <f ca="1" t="shared" si="1">IF(ISNA(VLOOKUP(R31,$X$8:$Z$41,2,False))=True,"",VLOOKUP(R31,$X$8:$Z$41,2,False))</f>
        <v>0</v>
      </c>
      <c r="T31" s="1274">
        <f ca="1" t="shared" si="2">IF(ISNA(VLOOKUP(R31,$X$8:$Z$41,3,False))=True,"",VLOOKUP(R31,$X$8:$Z$41,3,False))</f>
        <v>0</v>
      </c>
      <c r="U31" s="1275">
        <f ca="1" t="shared" si="3">IF(ISNA(VLOOKUP(R31,$N$8:$O$37,2,False))=True,"",VLOOKUP(R31,$N$8:$O$37,2,False))</f>
        <v>0</v>
      </c>
      <c r="V31" s="2784">
        <f ca="1" t="shared" si="4">_xlfn.IFNA(IF(ISTEXT(VLOOKUP(R31,$B$8:$I$102,4,0)),VLOOKUP(R31,$B$8:$I$102,4,0),YEAR(VLOOKUP(R31,$B$8:$I$102,4,0))),"")</f>
        <v>0</v>
      </c>
      <c r="X31" s="842" t="s">
        <v>862</v>
      </c>
      <c r="Y31" s="1488" t="s">
        <v>958</v>
      </c>
      <c r="Z31" s="837" t="s">
        <v>1436</v>
      </c>
    </row>
    <row r="32" spans="1:26" ht="15" customHeight="1">
      <c r="A32" s="1224">
        <v>4</v>
      </c>
      <c r="B32" s="1504"/>
      <c r="C32" s="826"/>
      <c r="D32" s="826"/>
      <c r="E32" s="1455"/>
      <c r="F32" s="815"/>
      <c r="G32" s="232"/>
      <c r="H32" s="900"/>
      <c r="I32" s="827">
        <f t="shared" si="7">G32*H32</f>
        <v>0</v>
      </c>
      <c r="K32" s="1736"/>
      <c r="L32" s="1488" t="s">
        <v>1104</v>
      </c>
      <c r="M32" s="830" t="s">
        <v>1437</v>
      </c>
      <c r="N32" s="1495" t="s">
        <v>863</v>
      </c>
      <c r="O32" s="841">
        <f ca="1" t="shared" si="6">SUMIF($B$77:$I$86,N32,$I$77:$I$86)</f>
        <v>0</v>
      </c>
      <c r="P32" s="829"/>
      <c r="Q32" s="829"/>
      <c r="R32" s="1273">
        <f ca="1">IF(AND(O32&lt;&gt;0,N32&lt;&gt;R31,N32&lt;&gt;R30,N32&lt;&gt;R29,N32&lt;&gt;R28,N32&lt;&gt;R27,N32&lt;&gt;R26,N32&lt;&gt;R25,N32&lt;&gt;R24,N32&lt;&gt;R23,N32&lt;&gt;R22,N32&lt;&gt;R21,N32&lt;&gt;R20,N32&lt;&gt;R19,N32&lt;&gt;R18,N32&lt;&gt;R17,N32&lt;&gt;R16,N32&lt;&gt;R15,N32&lt;&gt;R14,N32&lt;&gt;R13,N32&lt;&gt;R12,N32&lt;&gt;R11,N32&lt;&gt;R10,N32&lt;&gt;R9,N32&lt;&gt;R8),N32,IF(AND(O33&lt;&gt;0,N33&lt;&gt;R31,N33&lt;&gt;R30,N33&lt;&gt;R29,N33&lt;&gt;R28,N33&lt;&gt;R27,N33&lt;&gt;R26,N33&lt;&gt;R25,N33&lt;&gt;R24,N33&lt;&gt;R23,N33&lt;&gt;R22,N33&lt;&gt;R21,N33&lt;&gt;R20,N33&lt;&gt;R19,N33&lt;&gt;R18,N33&lt;&gt;R17,N33&lt;&gt;R16,N33&lt;&gt;R15,N33&lt;&gt;R14,N33&lt;&gt;R13,N33&lt;&gt;R12,N33&lt;&gt;R11,N33&lt;&gt;R10,N33&lt;&gt;R9,N33&lt;&gt;R8),N33,IF(AND(O34&lt;&gt;0,N34&lt;&gt;R31,N34&lt;&gt;R30,N34&lt;&gt;R29,N34&lt;&gt;R28,N34&lt;&gt;R27,N34&lt;&gt;R26,N34&lt;&gt;R25,N34&lt;&gt;R24,N34&lt;&gt;R23,N34&lt;&gt;R22,N34&lt;&gt;R21,N34&lt;&gt;R20,N34&lt;&gt;R19,N34&lt;&gt;R18,N34&lt;&gt;R17,N34&lt;&gt;R16,N34&lt;&gt;R15,N34&lt;&gt;R14,N34&lt;&gt;R13,N34&lt;&gt;R12,N34&lt;&gt;R11,N34&lt;&gt;R10,N34&lt;&gt;R9,N34&lt;&gt;R8),N34,IF(AND(O35&lt;&gt;0,N35&lt;&gt;R31,N35&lt;&gt;R30,N35&lt;&gt;R29,N35&lt;&gt;R28,N35&lt;&gt;R27,N35&lt;&gt;R26,N35&lt;&gt;R25,N35&lt;&gt;R24,N35&lt;&gt;R23,N35&lt;&gt;R22,N35&lt;&gt;R21,N35&lt;&gt;R20,N35&lt;&gt;R19,N35&lt;&gt;R18,N35&lt;&gt;R17,N35&lt;&gt;R16,N35&lt;&gt;R15,N35&lt;&gt;R14,N35&lt;&gt;R13,N35&lt;&gt;R12,N35&lt;&gt;R11,N35&lt;&gt;R10,N35&lt;&gt;R9,N35&lt;&gt;R8),N35,IF(AND(O36&lt;&gt;0,N36&lt;&gt;R31,N36&lt;&gt;R30,N36&lt;&gt;R29,N36&lt;&gt;R28,N36&lt;&gt;R27,N36&lt;&gt;R26,N36&lt;&gt;R25,N36&lt;&gt;R24,N36&lt;&gt;R23,N36&lt;&gt;R22,N36&lt;&gt;R21,N36&lt;&gt;R20,N36&lt;&gt;R19,N36&lt;&gt;R18,N36&lt;&gt;R17,N36&lt;&gt;R16,N36&lt;&gt;R15,N36&lt;&gt;R14,N36&lt;&gt;R13,N36&lt;&gt;R12,N36&lt;&gt;R11,N36&lt;&gt;R10,N36&lt;&gt;R9,N36&lt;&gt;R8),N36,IF(AND(O37&lt;&gt;0,N37&lt;&gt;R31,N37&lt;&gt;R30,N37&lt;&gt;R29,N37&lt;&gt;R28,N37&lt;&gt;R27,N37&lt;&gt;R26,N37&lt;&gt;R25,N37&lt;&gt;R24,N37&lt;&gt;R23,N37&lt;&gt;R22,N37&lt;&gt;R21,N37&lt;&gt;R20,N37&lt;&gt;R19,N37&lt;&gt;R18,N37&lt;&gt;R17,N37&lt;&gt;R16,N37&lt;&gt;R15,N37&lt;&gt;R14,N37&lt;&gt;R13,N37&lt;&gt;R12,N37&lt;&gt;R11,N37&lt;&gt;R10,N37&lt;&gt;R9,N37&lt;&gt;R8),N37,""))))))</f>
        <v>0</v>
      </c>
      <c r="S32" s="1274">
        <f ca="1" t="shared" si="1">IF(ISNA(VLOOKUP(R32,$X$8:$Z$41,2,False))=True,"",VLOOKUP(R32,$X$8:$Z$41,2,False))</f>
        <v>0</v>
      </c>
      <c r="T32" s="1274">
        <f ca="1" t="shared" si="2">IF(ISNA(VLOOKUP(R32,$X$8:$Z$41,3,False))=True,"",VLOOKUP(R32,$X$8:$Z$41,3,False))</f>
        <v>0</v>
      </c>
      <c r="U32" s="1275">
        <f ca="1" t="shared" si="3">IF(ISNA(VLOOKUP(R32,$N$8:$O$37,2,False))=True,"",VLOOKUP(R32,$N$8:$O$37,2,False))</f>
        <v>0</v>
      </c>
      <c r="V32" s="2784">
        <f ca="1" t="shared" si="4">_xlfn.IFNA(IF(ISTEXT(VLOOKUP(R32,$B$8:$I$102,4,0)),VLOOKUP(R32,$B$8:$I$102,4,0),YEAR(VLOOKUP(R32,$B$8:$I$102,4,0))),"")</f>
        <v>0</v>
      </c>
      <c r="X32" s="842" t="s">
        <v>863</v>
      </c>
      <c r="Y32" s="1488" t="s">
        <v>1104</v>
      </c>
      <c r="Z32" s="837" t="s">
        <v>1437</v>
      </c>
    </row>
    <row r="33" spans="1:26" ht="15" customHeight="1">
      <c r="A33" s="1224">
        <v>5</v>
      </c>
      <c r="B33" s="1504"/>
      <c r="C33" s="826"/>
      <c r="D33" s="826"/>
      <c r="E33" s="1455"/>
      <c r="F33" s="815"/>
      <c r="G33" s="232"/>
      <c r="H33" s="900"/>
      <c r="I33" s="827">
        <f t="shared" si="7">G33*H33</f>
        <v>0</v>
      </c>
      <c r="K33" s="1736"/>
      <c r="L33" s="1487" t="s">
        <v>962</v>
      </c>
      <c r="M33" s="833" t="s">
        <v>1438</v>
      </c>
      <c r="N33" s="1493" t="s">
        <v>864</v>
      </c>
      <c r="O33" s="841">
        <f ca="1" t="shared" si="6">SUMIF($B$77:$I$86,N33,$I$77:$I$86)</f>
        <v>0</v>
      </c>
      <c r="P33" s="829"/>
      <c r="Q33" s="829"/>
      <c r="R33" s="1273">
        <f ca="1">IF(AND(O33&lt;&gt;0,N33&lt;&gt;R32,N33&lt;&gt;R31,N33&lt;&gt;R30,N33&lt;&gt;R29,N33&lt;&gt;R28,N33&lt;&gt;R27,N33&lt;&gt;R26,N33&lt;&gt;R25,N33&lt;&gt;R24,N33&lt;&gt;R23,N33&lt;&gt;R22,N33&lt;&gt;R21,N33&lt;&gt;R20,N33&lt;&gt;R19,N33&lt;&gt;R18,N33&lt;&gt;R17,N33&lt;&gt;R16,N33&lt;&gt;R15,N33&lt;&gt;R14,N33&lt;&gt;R13,N33&lt;&gt;R12,N33&lt;&gt;R11,N33&lt;&gt;R10,N33&lt;&gt;R9,N33&lt;&gt;R8),N33,IF(AND(O34&lt;&gt;0,N34&lt;&gt;R32,N34&lt;&gt;R31,N34&lt;&gt;R30,N34&lt;&gt;R29,N34&lt;&gt;R28,N34&lt;&gt;R27,N34&lt;&gt;R26,N34&lt;&gt;R25,N34&lt;&gt;R24,N34&lt;&gt;R23,N34&lt;&gt;R22,N34&lt;&gt;R21,N34&lt;&gt;R20,N34&lt;&gt;R19,N34&lt;&gt;R18,N34&lt;&gt;R17,N34&lt;&gt;R16,N34&lt;&gt;R15,N34&lt;&gt;R14,N34&lt;&gt;R13,N34&lt;&gt;R12,N34&lt;&gt;R11,N34&lt;&gt;R10,N34&lt;&gt;R9,N34&lt;&gt;R8),N34,IF(AND(O35&lt;&gt;0,N35&lt;&gt;R32,N35&lt;&gt;R31,N35&lt;&gt;R30,N35&lt;&gt;R29,N35&lt;&gt;R28,N35&lt;&gt;R27,N35&lt;&gt;R26,N35&lt;&gt;R25,N35&lt;&gt;R24,N35&lt;&gt;R23,N35&lt;&gt;R22,N35&lt;&gt;R21,N35&lt;&gt;R20,N35&lt;&gt;R19,N35&lt;&gt;R18,N35&lt;&gt;R17,N35&lt;&gt;R16,N35&lt;&gt;R15,N35&lt;&gt;R14,N35&lt;&gt;R13,N35&lt;&gt;R12,N35&lt;&gt;R11,N35&lt;&gt;R10,N35&lt;&gt;R9,N35&lt;&gt;R8),N35,IF(AND(O36&lt;&gt;0,N36&lt;&gt;R32,N36&lt;&gt;R31,N36&lt;&gt;R30,N36&lt;&gt;R29,N36&lt;&gt;R28,N36&lt;&gt;R27,N36&lt;&gt;R26,N36&lt;&gt;R25,N36&lt;&gt;R24,N36&lt;&gt;R23,N36&lt;&gt;R22,N36&lt;&gt;R21,N36&lt;&gt;R20,N36&lt;&gt;R19,N36&lt;&gt;R18,N36&lt;&gt;R17,N36&lt;&gt;R16,N36&lt;&gt;R15,N36&lt;&gt;R14,N36&lt;&gt;R13,N36&lt;&gt;R12,N36&lt;&gt;R11,N36&lt;&gt;R10,N36&lt;&gt;R9,N36&lt;&gt;R8),N36,IF(AND(O37&lt;&gt;0,N37&lt;&gt;R32,N37&lt;&gt;R31,N37&lt;&gt;R30,N37&lt;&gt;R29,N37&lt;&gt;R28,N37&lt;&gt;R27,N37&lt;&gt;R26,N37&lt;&gt;R25,N37&lt;&gt;R24,N37&lt;&gt;R23,N37&lt;&gt;R22,N37&lt;&gt;R21,N37&lt;&gt;R20,N37&lt;&gt;R19,N37&lt;&gt;R18,N37&lt;&gt;R17,N37&lt;&gt;R16,N37&lt;&gt;R15,N37&lt;&gt;R14,N37&lt;&gt;R13,N37&lt;&gt;R12,N37&lt;&gt;R11,N37&lt;&gt;R10,N37&lt;&gt;R9,N37&lt;&gt;R8),N37,"")))))</f>
        <v>0</v>
      </c>
      <c r="S33" s="1274">
        <f ca="1" t="shared" si="1">IF(ISNA(VLOOKUP(R33,$X$8:$Z$41,2,False))=True,"",VLOOKUP(R33,$X$8:$Z$41,2,False))</f>
        <v>0</v>
      </c>
      <c r="T33" s="1274">
        <f ca="1" t="shared" si="2">IF(ISNA(VLOOKUP(R33,$X$8:$Z$41,3,False))=True,"",VLOOKUP(R33,$X$8:$Z$41,3,False))</f>
        <v>0</v>
      </c>
      <c r="U33" s="1275">
        <f ca="1" t="shared" si="3">IF(ISNA(VLOOKUP(R33,$N$8:$O$37,2,False))=True,"",VLOOKUP(R33,$N$8:$O$37,2,False))</f>
        <v>0</v>
      </c>
      <c r="V33" s="2784">
        <f ca="1" t="shared" si="4">_xlfn.IFNA(IF(ISTEXT(VLOOKUP(R33,$B$8:$I$102,4,0)),VLOOKUP(R33,$B$8:$I$102,4,0),YEAR(VLOOKUP(R33,$B$8:$I$102,4,0))),"")</f>
        <v>0</v>
      </c>
      <c r="X33" s="834" t="s">
        <v>864</v>
      </c>
      <c r="Y33" s="1487" t="s">
        <v>962</v>
      </c>
      <c r="Z33" s="835" t="s">
        <v>1438</v>
      </c>
    </row>
    <row r="34" spans="1:26" ht="15" customHeight="1">
      <c r="A34" s="1224">
        <v>6</v>
      </c>
      <c r="B34" s="1504"/>
      <c r="C34" s="826"/>
      <c r="D34" s="826"/>
      <c r="E34" s="1455"/>
      <c r="F34" s="815"/>
      <c r="G34" s="232"/>
      <c r="H34" s="900"/>
      <c r="I34" s="827">
        <f t="shared" si="7">G34*H34</f>
        <v>0</v>
      </c>
      <c r="K34" s="1736" t="s">
        <v>865</v>
      </c>
      <c r="L34" s="1488" t="s">
        <v>965</v>
      </c>
      <c r="M34" s="830" t="s">
        <v>1439</v>
      </c>
      <c r="N34" s="1495" t="s">
        <v>866</v>
      </c>
      <c r="O34" s="829">
        <f ca="1">SUMIF($B$93:$I$102,N34,$I$93:$I$102)</f>
        <v>0</v>
      </c>
      <c r="P34" s="829"/>
      <c r="Q34" s="829"/>
      <c r="R34" s="1273">
        <f ca="1">IF(AND(O34&lt;&gt;0,N34&lt;&gt;R33,N34&lt;&gt;R32,N34&lt;&gt;R31,N34&lt;&gt;R30,N34&lt;&gt;R29,N34&lt;&gt;R28,N34&lt;&gt;R27,N34&lt;&gt;R26,N34&lt;&gt;R25,N34&lt;&gt;R24,N34&lt;&gt;R23,N34&lt;&gt;R22,N34&lt;&gt;R21,N34&lt;&gt;R20,N34&lt;&gt;R19,N34&lt;&gt;R18,N34&lt;&gt;R17,N34&lt;&gt;R16,N34&lt;&gt;R15,N34&lt;&gt;R14,N34&lt;&gt;R13,N34&lt;&gt;R12,N34&lt;&gt;R11,N34&lt;&gt;R10,N34&lt;&gt;R9,N34&lt;&gt;R8),N34,IF(AND(O35&lt;&gt;0,N35&lt;&gt;R33,N35&lt;&gt;R32,N35&lt;&gt;R31,N35&lt;&gt;R30,N35&lt;&gt;R29,N35&lt;&gt;R28,N35&lt;&gt;R27,N35&lt;&gt;R26,N35&lt;&gt;R25,N35&lt;&gt;R24,N35&lt;&gt;R23,N35&lt;&gt;R22,N35&lt;&gt;R21,N35&lt;&gt;R20,N35&lt;&gt;R19,N35&lt;&gt;R18,N35&lt;&gt;R17,N35&lt;&gt;R16,N35&lt;&gt;R15,N35&lt;&gt;R14,N35&lt;&gt;R13,N35&lt;&gt;R12,N35&lt;&gt;R11,N35&lt;&gt;R10,N35&lt;&gt;R9,N35&lt;&gt;R8),N35,IF(AND(O36&lt;&gt;0,N36&lt;&gt;R33,N36&lt;&gt;R32,N36&lt;&gt;R31,N36&lt;&gt;R30,N36&lt;&gt;R29,N36&lt;&gt;R28,N36&lt;&gt;R27,N36&lt;&gt;R26,N36&lt;&gt;R25,N36&lt;&gt;R24,N36&lt;&gt;R23,N36&lt;&gt;R22,N36&lt;&gt;R21,N36&lt;&gt;R20,N36&lt;&gt;R19,N36&lt;&gt;R18,N36&lt;&gt;R17,N36&lt;&gt;R16,N36&lt;&gt;R15,N36&lt;&gt;R14,N36&lt;&gt;R13,N36&lt;&gt;R12,N36&lt;&gt;R11,N36&lt;&gt;R10,N36&lt;&gt;R9,N36&lt;&gt;R8),N36,IF(AND(O37&lt;&gt;0,N37&lt;&gt;R33,N37&lt;&gt;R32,N37&lt;&gt;R31,N37&lt;&gt;R30,N37&lt;&gt;R29,N37&lt;&gt;R28,N37&lt;&gt;R27,N37&lt;&gt;R26,N37&lt;&gt;R25,N37&lt;&gt;R24,N37&lt;&gt;R23,N37&lt;&gt;R22,N37&lt;&gt;R21,N37&lt;&gt;R20,N37&lt;&gt;R19,N37&lt;&gt;R18,N37&lt;&gt;R17,N37&lt;&gt;R16,N37&lt;&gt;R15,N37&lt;&gt;R14,N37&lt;&gt;R13,N37&lt;&gt;R12,N37&lt;&gt;R11,N37&lt;&gt;R10,N37&lt;&gt;R9,N37&lt;&gt;R8),N37,""))))</f>
        <v>0</v>
      </c>
      <c r="S34" s="1274">
        <f ca="1" t="shared" si="1">IF(ISNA(VLOOKUP(R34,$X$8:$Z$41,2,False))=True,"",VLOOKUP(R34,$X$8:$Z$41,2,False))</f>
        <v>0</v>
      </c>
      <c r="T34" s="1274">
        <f ca="1" t="shared" si="2">IF(ISNA(VLOOKUP(R34,$X$8:$Z$41,3,False))=True,"",VLOOKUP(R34,$X$8:$Z$41,3,False))</f>
        <v>0</v>
      </c>
      <c r="U34" s="1275">
        <f ca="1" t="shared" si="3">IF(ISNA(VLOOKUP(R34,$N$8:$O$37,2,False))=True,"",VLOOKUP(R34,$N$8:$O$37,2,False))</f>
        <v>0</v>
      </c>
      <c r="V34" s="2784">
        <f ca="1" t="shared" si="4">_xlfn.IFNA(IF(ISTEXT(VLOOKUP(R34,$B$8:$I$102,4,0)),VLOOKUP(R34,$B$8:$I$102,4,0),YEAR(VLOOKUP(R34,$B$8:$I$102,4,0))),"")</f>
        <v>0</v>
      </c>
      <c r="X34" s="842" t="s">
        <v>866</v>
      </c>
      <c r="Y34" s="1488" t="s">
        <v>965</v>
      </c>
      <c r="Z34" s="837" t="s">
        <v>1439</v>
      </c>
    </row>
    <row r="35" spans="1:26" ht="15" customHeight="1">
      <c r="A35" s="1224">
        <v>7</v>
      </c>
      <c r="B35" s="1504"/>
      <c r="C35" s="826"/>
      <c r="D35" s="826"/>
      <c r="E35" s="1455"/>
      <c r="F35" s="815"/>
      <c r="G35" s="232"/>
      <c r="H35" s="900"/>
      <c r="I35" s="827">
        <f t="shared" si="7">G35*H35</f>
        <v>0</v>
      </c>
      <c r="K35" s="1736"/>
      <c r="L35" s="1488" t="s">
        <v>964</v>
      </c>
      <c r="M35" s="830" t="s">
        <v>1440</v>
      </c>
      <c r="N35" s="1495" t="s">
        <v>867</v>
      </c>
      <c r="O35" s="829">
        <f ca="1">SUMIF($B$93:$I$102,N35,$I$93:$I$102)</f>
        <v>0</v>
      </c>
      <c r="P35" s="829"/>
      <c r="Q35" s="829"/>
      <c r="R35" s="1273">
        <f ca="1">IF(AND(O35&lt;&gt;0,N35&lt;&gt;R34,N35&lt;&gt;R33,N35&lt;&gt;R32,N35&lt;&gt;R31,N35&lt;&gt;R30,N35&lt;&gt;R29,N35&lt;&gt;R28,N35&lt;&gt;R27,N35&lt;&gt;R26,N35&lt;&gt;R25,N35&lt;&gt;R24,N35&lt;&gt;R23,N35&lt;&gt;R22,N35&lt;&gt;R21,N35&lt;&gt;R20,N35&lt;&gt;R19,N35&lt;&gt;R18,N35&lt;&gt;R17,N35&lt;&gt;R16,N35&lt;&gt;R15,N35&lt;&gt;R14,N35&lt;&gt;R13,N35&lt;&gt;R12,N35&lt;&gt;R11,N35&lt;&gt;R10,N35&lt;&gt;R9,N35&lt;&gt;R8),N35,IF(AND(O36&lt;&gt;0,N36&lt;&gt;R34,N36&lt;&gt;R33,N36&lt;&gt;R32,N36&lt;&gt;R31,N36&lt;&gt;R30,N36&lt;&gt;R29,N36&lt;&gt;R28,N36&lt;&gt;R27,N36&lt;&gt;R26,N36&lt;&gt;R25,N36&lt;&gt;R24,N36&lt;&gt;R23,N36&lt;&gt;R22,N36&lt;&gt;R21,N36&lt;&gt;R20,N36&lt;&gt;R19,N36&lt;&gt;R18,N36&lt;&gt;R17,N36&lt;&gt;R16,N36&lt;&gt;R15,N36&lt;&gt;R14,N36&lt;&gt;R13,N36&lt;&gt;R12,N36&lt;&gt;R11,N36&lt;&gt;R10,N36&lt;&gt;R9,N36&lt;&gt;R8),N36,IF(AND(O37&lt;&gt;0,N37&lt;&gt;R34,N37&lt;&gt;R33,N37&lt;&gt;R32,N37&lt;&gt;R31,N37&lt;&gt;R30,N37&lt;&gt;R29,N37&lt;&gt;R28,N37&lt;&gt;R27,N37&lt;&gt;R26,N37&lt;&gt;R25,N37&lt;&gt;R24,N37&lt;&gt;R23,N37&lt;&gt;R22,N37&lt;&gt;R21,N37&lt;&gt;R20,N37&lt;&gt;R19,N37&lt;&gt;R18,N37&lt;&gt;R17,N37&lt;&gt;R16,N37&lt;&gt;R15,N37&lt;&gt;R14,N37&lt;&gt;R13,N37&lt;&gt;R12,N37&lt;&gt;R11,N37&lt;&gt;R10,N37&lt;&gt;R9,N37&lt;&gt;R8),N37,"")))</f>
        <v>0</v>
      </c>
      <c r="S35" s="1274">
        <f ca="1" t="shared" si="1">IF(ISNA(VLOOKUP(R35,$X$8:$Z$41,2,False))=True,"",VLOOKUP(R35,$X$8:$Z$41,2,False))</f>
        <v>0</v>
      </c>
      <c r="T35" s="1274">
        <f ca="1" t="shared" si="2">IF(ISNA(VLOOKUP(R35,$X$8:$Z$41,3,False))=True,"",VLOOKUP(R35,$X$8:$Z$41,3,False))</f>
        <v>0</v>
      </c>
      <c r="U35" s="1275">
        <f ca="1" t="shared" si="3">IF(ISNA(VLOOKUP(R35,$N$8:$O$37,2,False))=True,"",VLOOKUP(R35,$N$8:$O$37,2,False))</f>
        <v>0</v>
      </c>
      <c r="V35" s="2784">
        <f ca="1" t="shared" si="4">_xlfn.IFNA(IF(ISTEXT(VLOOKUP(R35,$B$8:$I$102,4,0)),VLOOKUP(R35,$B$8:$I$102,4,0),YEAR(VLOOKUP(R35,$B$8:$I$102,4,0))),"")</f>
        <v>0</v>
      </c>
      <c r="X35" s="842" t="s">
        <v>867</v>
      </c>
      <c r="Y35" s="1488" t="s">
        <v>964</v>
      </c>
      <c r="Z35" s="837" t="s">
        <v>1440</v>
      </c>
    </row>
    <row r="36" spans="1:26" ht="15" customHeight="1">
      <c r="A36" s="1224">
        <v>8</v>
      </c>
      <c r="B36" s="1504"/>
      <c r="C36" s="826"/>
      <c r="D36" s="826"/>
      <c r="E36" s="1455"/>
      <c r="F36" s="815"/>
      <c r="G36" s="232"/>
      <c r="H36" s="900"/>
      <c r="I36" s="827">
        <f t="shared" si="7">G36*H36</f>
        <v>0</v>
      </c>
      <c r="K36" s="1736"/>
      <c r="L36" s="1488" t="s">
        <v>963</v>
      </c>
      <c r="M36" s="830" t="s">
        <v>1441</v>
      </c>
      <c r="N36" s="1495" t="s">
        <v>868</v>
      </c>
      <c r="O36" s="829">
        <f ca="1">SUMIF($B$93:$I$102,N36,$I$93:$I$102)</f>
        <v>0</v>
      </c>
      <c r="P36" s="829"/>
      <c r="Q36" s="829"/>
      <c r="R36" s="1273">
        <f ca="1">IF(AND(O36&lt;&gt;0,N36&lt;&gt;R35,N36&lt;&gt;R34,N36&lt;&gt;R33,N36&lt;&gt;R32,N36&lt;&gt;R31,N36&lt;&gt;R30,N36&lt;&gt;R29,N36&lt;&gt;R28,N36&lt;&gt;R27,N36&lt;&gt;R26,N36&lt;&gt;R25,N36&lt;&gt;R24,N36&lt;&gt;R23,N36&lt;&gt;R22,N36&lt;&gt;R21,N36&lt;&gt;R20,N36&lt;&gt;R19,N36&lt;&gt;R18,N36&lt;&gt;R17,N36&lt;&gt;R16,N36&lt;&gt;R15,N36&lt;&gt;R14,N36&lt;&gt;R13,N36&lt;&gt;R12,N36&lt;&gt;R11,N36&lt;&gt;R10,N36&lt;&gt;R9,N36&lt;&gt;R8),N36,IF(AND(O37&lt;&gt;0,N37&lt;&gt;R35,N37&lt;&gt;R34,N37&lt;&gt;R33,N37&lt;&gt;R32,N37&lt;&gt;R31,N37&lt;&gt;R30,N37&lt;&gt;R29,N37&lt;&gt;R28,N37&lt;&gt;R27,N37&lt;&gt;R26,N37&lt;&gt;R25,N37&lt;&gt;R24,N37&lt;&gt;R23,N37&lt;&gt;R22,N37&lt;&gt;R21,N37&lt;&gt;R20,N37&lt;&gt;R19,N37&lt;&gt;R18,N37&lt;&gt;R17,N37&lt;&gt;R16,N37&lt;&gt;R15,N37&lt;&gt;R14,N37&lt;&gt;R13,N37&lt;&gt;R12,N37&lt;&gt;R11,N37&lt;&gt;R10,N37&lt;&gt;R9,N37&lt;&gt;R8),N37,""))</f>
        <v>0</v>
      </c>
      <c r="S36" s="1274">
        <f ca="1" t="shared" si="1">IF(ISNA(VLOOKUP(R36,$X$8:$Z$41,2,False))=True,"",VLOOKUP(R36,$X$8:$Z$41,2,False))</f>
        <v>0</v>
      </c>
      <c r="T36" s="1274">
        <f ca="1" t="shared" si="2">IF(ISNA(VLOOKUP(R36,$X$8:$Z$41,3,False))=True,"",VLOOKUP(R36,$X$8:$Z$41,3,False))</f>
        <v>0</v>
      </c>
      <c r="U36" s="1275">
        <f ca="1" t="shared" si="3">IF(ISNA(VLOOKUP(R36,$N$8:$O$37,2,False))=True,"",VLOOKUP(R36,$N$8:$O$37,2,False))</f>
        <v>0</v>
      </c>
      <c r="V36" s="2784">
        <f ca="1" t="shared" si="4">_xlfn.IFNA(IF(ISTEXT(VLOOKUP(R36,$B$8:$I$102,4,0)),VLOOKUP(R36,$B$8:$I$102,4,0),YEAR(VLOOKUP(R36,$B$8:$I$102,4,0))),"")</f>
        <v>0</v>
      </c>
      <c r="X36" s="842" t="s">
        <v>868</v>
      </c>
      <c r="Y36" s="1488" t="s">
        <v>963</v>
      </c>
      <c r="Z36" s="837" t="s">
        <v>1441</v>
      </c>
    </row>
    <row r="37" spans="1:26" ht="15" customHeight="1" thickBot="1">
      <c r="A37" s="1224">
        <v>9</v>
      </c>
      <c r="B37" s="1504"/>
      <c r="C37" s="826"/>
      <c r="D37" s="826"/>
      <c r="E37" s="1455"/>
      <c r="F37" s="815"/>
      <c r="G37" s="232"/>
      <c r="H37" s="900"/>
      <c r="I37" s="827">
        <f t="shared" si="7">G37*H37</f>
        <v>0</v>
      </c>
      <c r="K37" s="1739"/>
      <c r="L37" s="1489" t="s">
        <v>959</v>
      </c>
      <c r="M37" s="843" t="s">
        <v>1442</v>
      </c>
      <c r="N37" s="1496" t="s">
        <v>869</v>
      </c>
      <c r="O37" s="829">
        <f ca="1">SUMIF($B$93:$I$102,N37,$I$93:$I$102)</f>
        <v>0</v>
      </c>
      <c r="P37" s="829"/>
      <c r="Q37" s="829"/>
      <c r="R37" s="1276">
        <f ca="1">IF(AND(O37&lt;&gt;0,N37&lt;&gt;R36,N37&lt;&gt;R35,N37&lt;&gt;R34,N37&lt;&gt;R33,N37&lt;&gt;R32,N37&lt;&gt;R31,N37&lt;&gt;R30,N37&lt;&gt;R29,N37&lt;&gt;R28,N37&lt;&gt;R27,N37&lt;&gt;R26,N37&lt;&gt;R25,N37&lt;&gt;R24,N37&lt;&gt;R23,N37&lt;&gt;R22,N37&lt;&gt;R21,N37&lt;&gt;R20,N37&lt;&gt;R19,N37&lt;&gt;R18,N37&lt;&gt;R17,N37&lt;&gt;R16,N37&lt;&gt;R15,N37&lt;&gt;R14,N37&lt;&gt;R13,N37&lt;&gt;R12,N37&lt;&gt;R11,N37&lt;&gt;R10,N37&lt;&gt;R9,N37&lt;&gt;R8),N37,"")</f>
        <v>0</v>
      </c>
      <c r="S37" s="1277">
        <f ca="1" t="shared" si="1">IF(ISNA(VLOOKUP(R37,$X$8:$Z$41,2,False))=True,"",VLOOKUP(R37,$X$8:$Z$41,2,False))</f>
        <v>0</v>
      </c>
      <c r="T37" s="1277">
        <f ca="1" t="shared" si="2">IF(ISNA(VLOOKUP(R37,$X$8:$Z$41,3,False))=True,"",VLOOKUP(R37,$X$8:$Z$41,3,False))</f>
        <v>0</v>
      </c>
      <c r="U37" s="1278">
        <f ca="1" t="shared" si="3">IF(ISNA(VLOOKUP(R37,$N$8:$O$37,2,False))=True,"",VLOOKUP(R37,$N$8:$O$37,2,False))</f>
        <v>0</v>
      </c>
      <c r="V37" s="2786">
        <f ca="1" t="shared" si="4">_xlfn.IFNA(IF(ISTEXT(VLOOKUP(R37,$B$8:$I$102,4,0)),VLOOKUP(R37,$B$8:$I$102,4,0),YEAR(VLOOKUP(R37,$B$8:$I$102,4,0))),"")</f>
        <v>0</v>
      </c>
      <c r="X37" s="844" t="s">
        <v>869</v>
      </c>
      <c r="Y37" s="1489" t="s">
        <v>959</v>
      </c>
      <c r="Z37" s="845" t="s">
        <v>1442</v>
      </c>
    </row>
    <row r="38" spans="1:27" ht="15" customHeight="1" thickBot="1">
      <c r="A38" s="1225">
        <v>10</v>
      </c>
      <c r="B38" s="1505"/>
      <c r="C38" s="838"/>
      <c r="D38" s="838"/>
      <c r="E38" s="1456"/>
      <c r="F38" s="576"/>
      <c r="G38" s="839"/>
      <c r="H38" s="901"/>
      <c r="I38" s="840">
        <f t="shared" si="7">G38*H38</f>
        <v>0</v>
      </c>
      <c r="K38" s="824"/>
      <c r="L38" s="837"/>
      <c r="M38" s="824"/>
      <c r="N38" s="1497"/>
      <c r="O38" s="824"/>
      <c r="P38" s="824"/>
      <c r="Q38" s="824"/>
      <c r="R38" s="1733" t="s">
        <v>252</v>
      </c>
      <c r="S38" s="1733"/>
      <c r="T38" s="1733"/>
      <c r="U38" s="1733"/>
      <c r="V38" s="1733"/>
      <c r="X38" s="824" t="s">
        <v>870</v>
      </c>
      <c r="Y38" s="1488" t="s">
        <v>967</v>
      </c>
      <c r="Z38" s="837" t="s">
        <v>1443</v>
      </c>
      <c r="AA38" s="824"/>
    </row>
    <row r="39" spans="1:27" ht="15" customHeight="1" thickTop="1" thickBot="1">
      <c r="A39" s="637"/>
      <c r="B39" s="1506"/>
      <c r="C39" s="639"/>
      <c r="D39" s="639"/>
      <c r="E39" s="1454"/>
      <c r="F39" s="637"/>
      <c r="G39" s="637"/>
      <c r="H39" s="902"/>
      <c r="I39" s="574"/>
      <c r="K39" s="824"/>
      <c r="L39" s="1749" t="s">
        <v>1099</v>
      </c>
      <c r="M39" s="1749"/>
      <c r="N39" s="1749"/>
      <c r="O39" s="1749"/>
      <c r="P39" s="846"/>
      <c r="Q39" s="846"/>
      <c r="R39" s="1268" t="s">
        <v>1095</v>
      </c>
      <c r="S39" s="1268" t="s">
        <v>1094</v>
      </c>
      <c r="T39" s="1268" t="s">
        <v>1385</v>
      </c>
      <c r="U39" s="1269" t="s">
        <v>1096</v>
      </c>
      <c r="V39" s="1268" t="s">
        <v>1384</v>
      </c>
      <c r="X39" s="824" t="s">
        <v>871</v>
      </c>
      <c r="Y39" s="1488" t="s">
        <v>1105</v>
      </c>
      <c r="Z39" s="837" t="s">
        <v>1444</v>
      </c>
      <c r="AA39" s="824"/>
    </row>
    <row r="40" spans="1:27" ht="15" customHeight="1" thickTop="1" thickBot="1">
      <c r="A40" s="473"/>
      <c r="B40" s="1507"/>
      <c r="C40" s="473"/>
      <c r="D40" s="473"/>
      <c r="E40" s="1457"/>
      <c r="F40" s="637"/>
      <c r="G40" s="637"/>
      <c r="H40" s="903" t="s">
        <v>250</v>
      </c>
      <c r="I40" s="575">
        <f>SUM(I29:I38)</f>
        <v>0</v>
      </c>
      <c r="K40" s="1750" t="s">
        <v>252</v>
      </c>
      <c r="L40" s="1488" t="s">
        <v>967</v>
      </c>
      <c r="M40" s="830" t="s">
        <v>1443</v>
      </c>
      <c r="N40" s="1498" t="s">
        <v>870</v>
      </c>
      <c r="O40" s="829">
        <f ca="1">SUMIF($B$113:$I$122,N40,$I$113:$I$122)</f>
        <v>0</v>
      </c>
      <c r="P40" s="830"/>
      <c r="Q40" s="830"/>
      <c r="R40" s="1270">
        <f ca="1">IF(O40&gt;0,N40,IF(O41&gt;0,N41,IF(O42&gt;0,N42,IF(O43&gt;0,N43,""))))</f>
        <v>0</v>
      </c>
      <c r="S40" s="1271">
        <f ca="1">IF(ISNA(VLOOKUP(R40,$X$8:$Z$41,2,False))=True,"",VLOOKUP(R40,$X$8:$Z$41,2,False))</f>
        <v>0</v>
      </c>
      <c r="T40" s="1271">
        <f ca="1">IF(ISNA(VLOOKUP(R40,$X$8:$Z$41,3,False))=True,"",VLOOKUP(R40,$X$8:$Z$41,3,False))</f>
        <v>0</v>
      </c>
      <c r="U40" s="1272">
        <f ca="1">IF(ISNA(VLOOKUP(R40,$N$40:$O$43,2,False))=True,"",VLOOKUP(R40,$N$40:$O$43,2,False))</f>
        <v>0</v>
      </c>
      <c r="V40" s="2783">
        <f ca="1">_xlfn.IFNA(IF(ISTEXT(VLOOKUP(R40,$B$113:$I$122,4,0)),VLOOKUP(R40,$B$113:$I$122,4,0),YEAR(VLOOKUP(R40,$B$113:$I$122,4,0))),"")</f>
        <v>0</v>
      </c>
      <c r="X40" s="824" t="s">
        <v>872</v>
      </c>
      <c r="Y40" s="1488" t="s">
        <v>1106</v>
      </c>
      <c r="Z40" s="837" t="s">
        <v>1445</v>
      </c>
      <c r="AA40" s="824"/>
    </row>
    <row r="41" spans="1:27" ht="15" customHeight="1" thickTop="1" thickBot="1">
      <c r="A41" s="473" t="s">
        <v>836</v>
      </c>
      <c r="B41" s="1507"/>
      <c r="C41" s="639"/>
      <c r="D41" s="639"/>
      <c r="E41" s="1454"/>
      <c r="F41" s="637"/>
      <c r="G41" s="637"/>
      <c r="H41" s="902"/>
      <c r="I41" s="574"/>
      <c r="K41" s="1751"/>
      <c r="L41" s="1488" t="s">
        <v>1105</v>
      </c>
      <c r="M41" s="830" t="s">
        <v>1444</v>
      </c>
      <c r="N41" s="1498" t="s">
        <v>871</v>
      </c>
      <c r="O41" s="829">
        <f ca="1">SUMIF($B$113:$I$122,N41,$I$113:$I$122)</f>
        <v>0</v>
      </c>
      <c r="P41" s="830"/>
      <c r="Q41" s="830"/>
      <c r="R41" s="1273">
        <f ca="1">IF(AND(O41&gt;0,N41&lt;&gt;R40),N41,IF(AND(O42&gt;0,N42&lt;&gt;R40),N42,IF(AND(O43&gt;0,N43&lt;&gt;R40),N43,"")))</f>
        <v>0</v>
      </c>
      <c r="S41" s="1274">
        <f ca="1">IF(ISNA(VLOOKUP(R41,$X$8:$Z$41,2,False))=True,"",VLOOKUP(R41,$X$8:$Z$41,2,False))</f>
        <v>0</v>
      </c>
      <c r="T41" s="1274">
        <f ca="1">IF(ISNA(VLOOKUP(R41,$X$8:$Z$41,3,False))=True,"",VLOOKUP(R41,$X$8:$Z$41,3,False))</f>
        <v>0</v>
      </c>
      <c r="U41" s="1272">
        <f ca="1">IF(ISNA(VLOOKUP(R41,$N$40:$O$43,2,False))=True,"",VLOOKUP(R41,$N$40:$O$43,2,False))</f>
        <v>0</v>
      </c>
      <c r="V41" s="2784">
        <f ca="1" t="shared" si="8" ref="V41:V44">_xlfn.IFNA(IF(ISTEXT(VLOOKUP(R41,$B$113:$I$122,4,0)),VLOOKUP(R41,$B$113:$I$122,4,0),YEAR(VLOOKUP(R41,$B$113:$I$122,4,0))),"")</f>
        <v>0</v>
      </c>
      <c r="X41" s="844" t="s">
        <v>1447</v>
      </c>
      <c r="Y41" s="1489" t="s">
        <v>1107</v>
      </c>
      <c r="Z41" s="845" t="s">
        <v>1446</v>
      </c>
      <c r="AA41" s="844"/>
    </row>
    <row r="42" spans="1:22" ht="15" customHeight="1" thickBot="1">
      <c r="A42" s="473"/>
      <c r="B42" s="1507"/>
      <c r="C42" s="639"/>
      <c r="D42" s="639"/>
      <c r="E42" s="1454"/>
      <c r="F42" s="637"/>
      <c r="G42" s="637"/>
      <c r="H42" s="902"/>
      <c r="I42" s="574"/>
      <c r="K42" s="1751"/>
      <c r="L42" s="1488" t="s">
        <v>1106</v>
      </c>
      <c r="M42" s="830" t="s">
        <v>1445</v>
      </c>
      <c r="N42" s="1498" t="s">
        <v>872</v>
      </c>
      <c r="O42" s="829">
        <f ca="1">SUMIF($B$113:$I$122,N42,$I$113:$I$122)</f>
        <v>0</v>
      </c>
      <c r="P42" s="830"/>
      <c r="Q42" s="830"/>
      <c r="R42" s="1273">
        <f ca="1">IF(AND(O42&gt;0,N42&lt;&gt;R41,N42&lt;&gt;R40),N42,IF(AND(O42&gt;0,N42&lt;&gt;R40),N42,IF(AND(O43&gt;0,N43&lt;&gt;R42,N43&lt;&gt;R42),N43,"")))</f>
        <v>0</v>
      </c>
      <c r="S42" s="1274">
        <f ca="1">IF(ISNA(VLOOKUP(R42,$X$8:$Z$41,2,False))=True,"",VLOOKUP(R42,$X$8:$Z$41,2,False))</f>
        <v>0</v>
      </c>
      <c r="T42" s="1274">
        <f ca="1">IF(ISNA(VLOOKUP(R42,$X$8:$Z$41,3,False))=True,"",VLOOKUP(R42,$X$8:$Z$41,3,False))</f>
        <v>0</v>
      </c>
      <c r="U42" s="1272">
        <f ca="1">IF(ISNA(VLOOKUP(R42,$N$40:$O$43,2,False))=True,"",VLOOKUP(R42,$N$40:$O$43,2,False))</f>
        <v>0</v>
      </c>
      <c r="V42" s="2784">
        <f ca="1" t="shared" si="8">_xlfn.IFNA(IF(ISTEXT(VLOOKUP(R42,$B$113:$I$122,4,0)),VLOOKUP(R42,$B$113:$I$122,4,0),YEAR(VLOOKUP(R42,$B$113:$I$122,4,0))),"")</f>
        <v>0</v>
      </c>
    </row>
    <row r="43" spans="1:22" s="231" customFormat="1" ht="15.75" customHeight="1" thickTop="1" thickBot="1">
      <c r="A43" s="1741" t="s">
        <v>84</v>
      </c>
      <c r="B43" s="1743" t="s">
        <v>1091</v>
      </c>
      <c r="C43" s="1745" t="s">
        <v>243</v>
      </c>
      <c r="D43" s="1734" t="s">
        <v>1100</v>
      </c>
      <c r="E43" s="1747" t="s">
        <v>244</v>
      </c>
      <c r="F43" s="1734" t="s">
        <v>245</v>
      </c>
      <c r="G43" s="1734" t="s">
        <v>246</v>
      </c>
      <c r="H43" s="1734"/>
      <c r="I43" s="1735"/>
      <c r="J43" s="231"/>
      <c r="K43" s="1752"/>
      <c r="L43" s="1489" t="s">
        <v>1107</v>
      </c>
      <c r="M43" s="843" t="s">
        <v>1446</v>
      </c>
      <c r="N43" s="1499" t="s">
        <v>1447</v>
      </c>
      <c r="O43" s="829">
        <f ca="1">SUMIF($B$113:$I$122,N43,$I$113:$I$122)</f>
        <v>0</v>
      </c>
      <c r="P43" s="830"/>
      <c r="Q43" s="830"/>
      <c r="R43" s="1276">
        <f ca="1">IF(AND(O43&gt;0,N43&lt;&gt;R42,N43&lt;&gt;R41,N43&lt;&gt;R40),N43,"")</f>
        <v>0</v>
      </c>
      <c r="S43" s="1277">
        <f ca="1">IF(ISNA(VLOOKUP(R43,$X$8:$Z$41,2,False))=True,"",VLOOKUP(R43,$X$8:$Z$41,2,False))</f>
        <v>0</v>
      </c>
      <c r="T43" s="1277">
        <f ca="1">IF(ISNA(VLOOKUP(R43,$X$8:$Z$41,3,False))=True,"",VLOOKUP(R43,$X$8:$Z$41,3,False))</f>
        <v>0</v>
      </c>
      <c r="U43" s="1278">
        <f ca="1">IF(ISNA(VLOOKUP(R43,$N$40:$O$43,2,False))=True,"",VLOOKUP(R43,$N$40:$O$43,2,False))</f>
        <v>0</v>
      </c>
      <c r="V43" s="2787">
        <f ca="1" t="shared" si="8">_xlfn.IFNA(IF(ISTEXT(VLOOKUP(R43,$B$113:$I$122,4,0)),VLOOKUP(R43,$B$113:$I$122,4,0),YEAR(VLOOKUP(R43,$B$113:$I$122,4,0))),"")</f>
        <v>0</v>
      </c>
    </row>
    <row r="44" spans="1:22" s="231" customFormat="1" ht="26.25" customHeight="1">
      <c r="A44" s="1742"/>
      <c r="B44" s="1744"/>
      <c r="C44" s="1746"/>
      <c r="D44" s="822"/>
      <c r="E44" s="1748"/>
      <c r="F44" s="822"/>
      <c r="G44" s="822" t="s">
        <v>247</v>
      </c>
      <c r="H44" s="822" t="s">
        <v>248</v>
      </c>
      <c r="I44" s="823" t="s">
        <v>249</v>
      </c>
      <c r="J44" s="231"/>
      <c r="N44" s="1500"/>
      <c r="R44" s="1267"/>
      <c r="S44" s="1265"/>
      <c r="T44" s="1265"/>
      <c r="U44" s="1266"/>
      <c r="V44" s="1267"/>
    </row>
    <row r="45" spans="1:9">
      <c r="A45" s="1224">
        <v>1</v>
      </c>
      <c r="B45" s="1508" t="s">
        <v>839</v>
      </c>
      <c r="C45" s="826" t="s">
        <v>945</v>
      </c>
      <c r="D45" s="826" t="s">
        <v>1454</v>
      </c>
      <c r="E45" s="1455">
        <v>44181</v>
      </c>
      <c r="F45" s="815" t="s">
        <v>509</v>
      </c>
      <c r="G45" s="232">
        <v>3434</v>
      </c>
      <c r="H45" s="900">
        <v>34433</v>
      </c>
      <c r="I45" s="827">
        <f t="shared" si="9" ref="I45:I54">G45*H45</f>
        <v>0</v>
      </c>
    </row>
    <row r="46" spans="1:9">
      <c r="A46" s="1224">
        <v>2</v>
      </c>
      <c r="B46" s="1508" t="s">
        <v>843</v>
      </c>
      <c r="C46" s="826" t="s">
        <v>947</v>
      </c>
      <c r="D46" s="826"/>
      <c r="E46" s="1455">
        <v>44182</v>
      </c>
      <c r="F46" s="815" t="s">
        <v>509</v>
      </c>
      <c r="G46" s="232">
        <v>3333</v>
      </c>
      <c r="H46" s="900">
        <v>12222</v>
      </c>
      <c r="I46" s="827">
        <f t="shared" si="9">G46*H46</f>
        <v>0</v>
      </c>
    </row>
    <row r="47" spans="1:9">
      <c r="A47" s="1224">
        <v>3</v>
      </c>
      <c r="B47" s="1508"/>
      <c r="C47" s="826"/>
      <c r="D47" s="826"/>
      <c r="E47" s="1455"/>
      <c r="F47" s="815"/>
      <c r="G47" s="232"/>
      <c r="H47" s="900"/>
      <c r="I47" s="827">
        <f t="shared" si="9">G47*H47</f>
        <v>0</v>
      </c>
    </row>
    <row r="48" spans="1:9">
      <c r="A48" s="1224">
        <v>4</v>
      </c>
      <c r="B48" s="1508"/>
      <c r="C48" s="826"/>
      <c r="D48" s="826"/>
      <c r="E48" s="1455"/>
      <c r="F48" s="815"/>
      <c r="G48" s="232"/>
      <c r="H48" s="900"/>
      <c r="I48" s="827">
        <f t="shared" si="9">G48*H48</f>
        <v>0</v>
      </c>
    </row>
    <row r="49" spans="1:9">
      <c r="A49" s="1224">
        <v>5</v>
      </c>
      <c r="B49" s="1508"/>
      <c r="C49" s="826"/>
      <c r="D49" s="826"/>
      <c r="E49" s="1455"/>
      <c r="F49" s="815"/>
      <c r="G49" s="232"/>
      <c r="H49" s="900"/>
      <c r="I49" s="827">
        <f t="shared" si="9">G49*H49</f>
        <v>0</v>
      </c>
    </row>
    <row r="50" spans="1:9">
      <c r="A50" s="1224">
        <v>6</v>
      </c>
      <c r="B50" s="1508"/>
      <c r="C50" s="826"/>
      <c r="D50" s="826"/>
      <c r="E50" s="1455"/>
      <c r="F50" s="815"/>
      <c r="G50" s="232"/>
      <c r="H50" s="900"/>
      <c r="I50" s="827">
        <f t="shared" si="9">G50*H50</f>
        <v>0</v>
      </c>
    </row>
    <row r="51" spans="1:9">
      <c r="A51" s="1224">
        <v>7</v>
      </c>
      <c r="B51" s="1508"/>
      <c r="C51" s="826"/>
      <c r="D51" s="826"/>
      <c r="E51" s="1455"/>
      <c r="F51" s="815"/>
      <c r="G51" s="232"/>
      <c r="H51" s="900"/>
      <c r="I51" s="827">
        <f t="shared" si="9">G51*H51</f>
        <v>0</v>
      </c>
    </row>
    <row r="52" spans="1:9">
      <c r="A52" s="1224">
        <v>8</v>
      </c>
      <c r="B52" s="1508"/>
      <c r="C52" s="826"/>
      <c r="D52" s="826"/>
      <c r="E52" s="1455"/>
      <c r="F52" s="815"/>
      <c r="G52" s="232"/>
      <c r="H52" s="900"/>
      <c r="I52" s="827">
        <f t="shared" si="9">G52*H52</f>
        <v>0</v>
      </c>
    </row>
    <row r="53" spans="1:9">
      <c r="A53" s="1224">
        <v>9</v>
      </c>
      <c r="B53" s="1508"/>
      <c r="C53" s="826"/>
      <c r="D53" s="826"/>
      <c r="E53" s="1455"/>
      <c r="F53" s="815"/>
      <c r="G53" s="232"/>
      <c r="H53" s="900"/>
      <c r="I53" s="827">
        <f t="shared" si="9">G53*H53</f>
        <v>0</v>
      </c>
    </row>
    <row r="54" spans="1:9" ht="13.5" customHeight="1" thickBot="1">
      <c r="A54" s="1225">
        <v>10</v>
      </c>
      <c r="B54" s="1509"/>
      <c r="C54" s="838"/>
      <c r="D54" s="838"/>
      <c r="E54" s="1456"/>
      <c r="F54" s="576"/>
      <c r="G54" s="839"/>
      <c r="H54" s="901"/>
      <c r="I54" s="840">
        <f t="shared" si="9">G54*H54</f>
        <v>0</v>
      </c>
    </row>
    <row r="55" spans="1:9" ht="13.5" customHeight="1" thickTop="1" thickBot="1">
      <c r="A55" s="637"/>
      <c r="B55" s="1506"/>
      <c r="C55" s="639"/>
      <c r="D55" s="639"/>
      <c r="E55" s="1454"/>
      <c r="F55" s="637"/>
      <c r="G55" s="637"/>
      <c r="H55" s="902"/>
      <c r="I55" s="574"/>
    </row>
    <row r="56" spans="1:9" ht="14.25" customHeight="1" thickTop="1" thickBot="1">
      <c r="A56" s="473"/>
      <c r="B56" s="1507"/>
      <c r="C56" s="473"/>
      <c r="D56" s="473"/>
      <c r="E56" s="1457"/>
      <c r="F56" s="637"/>
      <c r="G56" s="637"/>
      <c r="H56" s="903" t="s">
        <v>250</v>
      </c>
      <c r="I56" s="575">
        <f>SUM(I45:I54)</f>
        <v>0</v>
      </c>
    </row>
    <row r="57" spans="1:9" ht="13.5" customHeight="1" thickTop="1">
      <c r="A57" s="473" t="s">
        <v>851</v>
      </c>
      <c r="B57" s="1507"/>
      <c r="C57" s="473"/>
      <c r="D57" s="473"/>
      <c r="E57" s="1457"/>
      <c r="F57" s="637"/>
      <c r="G57" s="637"/>
      <c r="H57" s="903"/>
      <c r="I57" s="574"/>
    </row>
    <row r="58" spans="1:9" ht="13.5" customHeight="1" thickBot="1">
      <c r="A58" s="473"/>
      <c r="B58" s="1507"/>
      <c r="C58" s="473"/>
      <c r="D58" s="473"/>
      <c r="E58" s="1457"/>
      <c r="F58" s="637"/>
      <c r="G58" s="637"/>
      <c r="H58" s="903"/>
      <c r="I58" s="574"/>
    </row>
    <row r="59" spans="1:22" s="231" customFormat="1" ht="13.5" customHeight="1" thickTop="1">
      <c r="A59" s="1741" t="s">
        <v>84</v>
      </c>
      <c r="B59" s="1743" t="s">
        <v>1091</v>
      </c>
      <c r="C59" s="1745" t="s">
        <v>243</v>
      </c>
      <c r="D59" s="1734" t="s">
        <v>1100</v>
      </c>
      <c r="E59" s="1747" t="s">
        <v>244</v>
      </c>
      <c r="F59" s="1734" t="s">
        <v>245</v>
      </c>
      <c r="G59" s="1734" t="s">
        <v>246</v>
      </c>
      <c r="H59" s="1734"/>
      <c r="I59" s="1735"/>
      <c r="J59" s="231"/>
      <c r="N59" s="1500"/>
      <c r="R59" s="1267"/>
      <c r="S59" s="1265"/>
      <c r="T59" s="1265"/>
      <c r="U59" s="1266"/>
      <c r="V59" s="1267"/>
    </row>
    <row r="60" spans="1:22" s="231" customFormat="1" ht="26.25" customHeight="1">
      <c r="A60" s="1742"/>
      <c r="B60" s="1744"/>
      <c r="C60" s="1746"/>
      <c r="D60" s="822"/>
      <c r="E60" s="1748"/>
      <c r="F60" s="822"/>
      <c r="G60" s="822" t="s">
        <v>247</v>
      </c>
      <c r="H60" s="822" t="s">
        <v>248</v>
      </c>
      <c r="I60" s="823" t="s">
        <v>249</v>
      </c>
      <c r="J60" s="231"/>
      <c r="N60" s="1500"/>
      <c r="R60" s="1267"/>
      <c r="S60" s="1265"/>
      <c r="T60" s="1265"/>
      <c r="U60" s="1266"/>
      <c r="V60" s="1267"/>
    </row>
    <row r="61" spans="1:9">
      <c r="A61" s="1224">
        <v>1</v>
      </c>
      <c r="B61" s="1508"/>
      <c r="C61" s="826"/>
      <c r="D61" s="826"/>
      <c r="E61" s="1455"/>
      <c r="F61" s="815"/>
      <c r="G61" s="232"/>
      <c r="H61" s="900"/>
      <c r="I61" s="827">
        <f t="shared" si="10" ref="I61:I70">G61*H61</f>
        <v>0</v>
      </c>
    </row>
    <row r="62" spans="1:9">
      <c r="A62" s="1224">
        <v>2</v>
      </c>
      <c r="B62" s="1508"/>
      <c r="C62" s="826"/>
      <c r="D62" s="826"/>
      <c r="E62" s="1455"/>
      <c r="F62" s="815"/>
      <c r="G62" s="232"/>
      <c r="H62" s="900"/>
      <c r="I62" s="827">
        <f t="shared" si="10">G62*H62</f>
        <v>0</v>
      </c>
    </row>
    <row r="63" spans="1:9">
      <c r="A63" s="1224">
        <v>3</v>
      </c>
      <c r="B63" s="1508"/>
      <c r="C63" s="826"/>
      <c r="D63" s="826"/>
      <c r="E63" s="1455"/>
      <c r="F63" s="815"/>
      <c r="G63" s="232"/>
      <c r="H63" s="900"/>
      <c r="I63" s="827">
        <f t="shared" si="10">G63*H63</f>
        <v>0</v>
      </c>
    </row>
    <row r="64" spans="1:9">
      <c r="A64" s="1224">
        <v>4</v>
      </c>
      <c r="B64" s="1508"/>
      <c r="C64" s="826"/>
      <c r="D64" s="826"/>
      <c r="E64" s="1455"/>
      <c r="F64" s="815"/>
      <c r="G64" s="232"/>
      <c r="H64" s="900"/>
      <c r="I64" s="827">
        <f t="shared" si="10">G64*H64</f>
        <v>0</v>
      </c>
    </row>
    <row r="65" spans="1:9">
      <c r="A65" s="1224">
        <v>5</v>
      </c>
      <c r="B65" s="1508"/>
      <c r="C65" s="826"/>
      <c r="D65" s="826"/>
      <c r="E65" s="1455"/>
      <c r="F65" s="815"/>
      <c r="G65" s="232"/>
      <c r="H65" s="900"/>
      <c r="I65" s="827">
        <f t="shared" si="10">G65*H65</f>
        <v>0</v>
      </c>
    </row>
    <row r="66" spans="1:9">
      <c r="A66" s="1224">
        <v>6</v>
      </c>
      <c r="B66" s="1508"/>
      <c r="C66" s="826"/>
      <c r="D66" s="826"/>
      <c r="E66" s="1455"/>
      <c r="F66" s="815"/>
      <c r="G66" s="232"/>
      <c r="H66" s="900"/>
      <c r="I66" s="827">
        <f t="shared" si="10">G66*H66</f>
        <v>0</v>
      </c>
    </row>
    <row r="67" spans="1:9">
      <c r="A67" s="1224">
        <v>7</v>
      </c>
      <c r="B67" s="1508"/>
      <c r="C67" s="826"/>
      <c r="D67" s="826"/>
      <c r="E67" s="1455"/>
      <c r="F67" s="815"/>
      <c r="G67" s="232"/>
      <c r="H67" s="900"/>
      <c r="I67" s="827">
        <f t="shared" si="10">G67*H67</f>
        <v>0</v>
      </c>
    </row>
    <row r="68" spans="1:9">
      <c r="A68" s="1224">
        <v>8</v>
      </c>
      <c r="B68" s="1508"/>
      <c r="C68" s="826"/>
      <c r="D68" s="826"/>
      <c r="E68" s="1455"/>
      <c r="F68" s="815"/>
      <c r="G68" s="232"/>
      <c r="H68" s="900"/>
      <c r="I68" s="827">
        <f t="shared" si="10">G68*H68</f>
        <v>0</v>
      </c>
    </row>
    <row r="69" spans="1:9">
      <c r="A69" s="1224">
        <v>9</v>
      </c>
      <c r="B69" s="1508"/>
      <c r="C69" s="826"/>
      <c r="D69" s="826"/>
      <c r="E69" s="1455"/>
      <c r="F69" s="815"/>
      <c r="G69" s="232"/>
      <c r="H69" s="900"/>
      <c r="I69" s="827">
        <f t="shared" si="10">G69*H69</f>
        <v>0</v>
      </c>
    </row>
    <row r="70" spans="1:9" ht="13.5" customHeight="1" thickBot="1">
      <c r="A70" s="1225">
        <v>10</v>
      </c>
      <c r="B70" s="1509"/>
      <c r="C70" s="838"/>
      <c r="D70" s="838"/>
      <c r="E70" s="1456"/>
      <c r="F70" s="576"/>
      <c r="G70" s="839"/>
      <c r="H70" s="901"/>
      <c r="I70" s="840">
        <f t="shared" si="10">G70*H70</f>
        <v>0</v>
      </c>
    </row>
    <row r="71" spans="1:9" ht="13.5" customHeight="1" thickTop="1" thickBot="1">
      <c r="A71" s="637"/>
      <c r="B71" s="1506"/>
      <c r="C71" s="639"/>
      <c r="D71" s="639"/>
      <c r="E71" s="1454"/>
      <c r="F71" s="637"/>
      <c r="G71" s="637"/>
      <c r="H71" s="902"/>
      <c r="I71" s="574"/>
    </row>
    <row r="72" spans="1:9" ht="14.25" customHeight="1" thickTop="1" thickBot="1">
      <c r="A72" s="473"/>
      <c r="B72" s="1507"/>
      <c r="C72" s="473"/>
      <c r="D72" s="473"/>
      <c r="E72" s="1457"/>
      <c r="F72" s="637"/>
      <c r="G72" s="637"/>
      <c r="H72" s="903" t="s">
        <v>250</v>
      </c>
      <c r="I72" s="575">
        <f>SUM(I61:I70)</f>
        <v>0</v>
      </c>
    </row>
    <row r="73" spans="1:9" ht="13.5" customHeight="1" thickTop="1">
      <c r="A73" s="473" t="s">
        <v>858</v>
      </c>
      <c r="B73" s="1507"/>
      <c r="C73" s="473"/>
      <c r="D73" s="473"/>
      <c r="E73" s="1457"/>
      <c r="F73" s="637"/>
      <c r="G73" s="637"/>
      <c r="H73" s="903"/>
      <c r="I73" s="574"/>
    </row>
    <row r="74" spans="1:9" ht="13.5" customHeight="1" thickBot="1">
      <c r="A74" s="473"/>
      <c r="B74" s="1507"/>
      <c r="C74" s="473"/>
      <c r="D74" s="473"/>
      <c r="E74" s="1457"/>
      <c r="F74" s="637"/>
      <c r="G74" s="637"/>
      <c r="H74" s="903"/>
      <c r="I74" s="574"/>
    </row>
    <row r="75" spans="1:22" s="231" customFormat="1" ht="13.5" customHeight="1" thickTop="1">
      <c r="A75" s="1741" t="s">
        <v>84</v>
      </c>
      <c r="B75" s="1743" t="s">
        <v>1091</v>
      </c>
      <c r="C75" s="1745" t="s">
        <v>243</v>
      </c>
      <c r="D75" s="1734" t="s">
        <v>1100</v>
      </c>
      <c r="E75" s="1747" t="s">
        <v>244</v>
      </c>
      <c r="F75" s="1734" t="s">
        <v>245</v>
      </c>
      <c r="G75" s="1734" t="s">
        <v>246</v>
      </c>
      <c r="H75" s="1734"/>
      <c r="I75" s="1735"/>
      <c r="J75" s="231"/>
      <c r="N75" s="1500"/>
      <c r="R75" s="1267"/>
      <c r="S75" s="1265"/>
      <c r="T75" s="1265"/>
      <c r="U75" s="1263"/>
      <c r="V75" s="1262"/>
    </row>
    <row r="76" spans="1:22" s="231" customFormat="1" ht="26.25" customHeight="1">
      <c r="A76" s="1742"/>
      <c r="B76" s="1744"/>
      <c r="C76" s="1746"/>
      <c r="D76" s="822"/>
      <c r="E76" s="1748"/>
      <c r="F76" s="822"/>
      <c r="G76" s="822" t="s">
        <v>247</v>
      </c>
      <c r="H76" s="822" t="s">
        <v>248</v>
      </c>
      <c r="I76" s="823" t="s">
        <v>249</v>
      </c>
      <c r="J76" s="231"/>
      <c r="N76" s="1500"/>
      <c r="R76" s="1267"/>
      <c r="S76" s="1265"/>
      <c r="T76" s="1265"/>
      <c r="U76" s="1263"/>
      <c r="V76" s="1262"/>
    </row>
    <row r="77" spans="1:9">
      <c r="A77" s="1224">
        <v>1</v>
      </c>
      <c r="B77" s="1508"/>
      <c r="C77" s="826"/>
      <c r="D77" s="826"/>
      <c r="E77" s="1455"/>
      <c r="F77" s="815"/>
      <c r="G77" s="232"/>
      <c r="H77" s="900"/>
      <c r="I77" s="827">
        <f t="shared" si="11" ref="I77:I86">G77*H77</f>
        <v>0</v>
      </c>
    </row>
    <row r="78" spans="1:22">
      <c r="A78" s="1224">
        <v>2</v>
      </c>
      <c r="B78" s="1508"/>
      <c r="C78" s="826"/>
      <c r="D78" s="826"/>
      <c r="E78" s="1455"/>
      <c r="F78" s="815"/>
      <c r="G78" s="232"/>
      <c r="H78" s="900"/>
      <c r="I78" s="827">
        <f t="shared" si="11">G78*H78</f>
        <v>0</v>
      </c>
      <c r="U78" s="1263"/>
      <c r="V78" s="1262"/>
    </row>
    <row r="79" spans="1:22">
      <c r="A79" s="1224">
        <v>3</v>
      </c>
      <c r="B79" s="1508"/>
      <c r="C79" s="826"/>
      <c r="D79" s="826"/>
      <c r="E79" s="1455"/>
      <c r="F79" s="815"/>
      <c r="G79" s="232"/>
      <c r="H79" s="900"/>
      <c r="I79" s="827">
        <f t="shared" si="11">G79*H79</f>
        <v>0</v>
      </c>
      <c r="U79" s="1263"/>
      <c r="V79" s="1262"/>
    </row>
    <row r="80" spans="1:22">
      <c r="A80" s="1224">
        <v>4</v>
      </c>
      <c r="B80" s="1508"/>
      <c r="C80" s="826"/>
      <c r="D80" s="826"/>
      <c r="E80" s="1455"/>
      <c r="F80" s="815"/>
      <c r="G80" s="232"/>
      <c r="H80" s="900"/>
      <c r="I80" s="827">
        <f t="shared" si="11">G80*H80</f>
        <v>0</v>
      </c>
      <c r="U80" s="1263"/>
      <c r="V80" s="1262"/>
    </row>
    <row r="81" spans="1:9">
      <c r="A81" s="1224">
        <v>5</v>
      </c>
      <c r="B81" s="1508"/>
      <c r="C81" s="826"/>
      <c r="D81" s="826"/>
      <c r="E81" s="1455"/>
      <c r="F81" s="815"/>
      <c r="G81" s="232"/>
      <c r="H81" s="900"/>
      <c r="I81" s="827">
        <f t="shared" si="11">G81*H81</f>
        <v>0</v>
      </c>
    </row>
    <row r="82" spans="1:9">
      <c r="A82" s="1224">
        <v>6</v>
      </c>
      <c r="B82" s="1508"/>
      <c r="C82" s="826"/>
      <c r="D82" s="826"/>
      <c r="E82" s="1455"/>
      <c r="F82" s="815"/>
      <c r="G82" s="232"/>
      <c r="H82" s="900"/>
      <c r="I82" s="827">
        <f t="shared" si="11">G82*H82</f>
        <v>0</v>
      </c>
    </row>
    <row r="83" spans="1:9">
      <c r="A83" s="1224">
        <v>7</v>
      </c>
      <c r="B83" s="1508"/>
      <c r="C83" s="826"/>
      <c r="D83" s="826"/>
      <c r="E83" s="1455"/>
      <c r="F83" s="815"/>
      <c r="G83" s="232"/>
      <c r="H83" s="900"/>
      <c r="I83" s="827">
        <f t="shared" si="11">G83*H83</f>
        <v>0</v>
      </c>
    </row>
    <row r="84" spans="1:9">
      <c r="A84" s="1224">
        <v>8</v>
      </c>
      <c r="B84" s="1508"/>
      <c r="C84" s="826"/>
      <c r="D84" s="826"/>
      <c r="E84" s="1455"/>
      <c r="F84" s="815"/>
      <c r="G84" s="232"/>
      <c r="H84" s="900"/>
      <c r="I84" s="827">
        <f t="shared" si="11">G84*H84</f>
        <v>0</v>
      </c>
    </row>
    <row r="85" spans="1:9">
      <c r="A85" s="1224">
        <v>9</v>
      </c>
      <c r="B85" s="1508"/>
      <c r="C85" s="826"/>
      <c r="D85" s="826"/>
      <c r="E85" s="1455"/>
      <c r="F85" s="815"/>
      <c r="G85" s="232"/>
      <c r="H85" s="900"/>
      <c r="I85" s="827">
        <f t="shared" si="11">G85*H85</f>
        <v>0</v>
      </c>
    </row>
    <row r="86" spans="1:9" ht="13.5" customHeight="1" thickBot="1">
      <c r="A86" s="1225">
        <v>10</v>
      </c>
      <c r="B86" s="1509"/>
      <c r="C86" s="838"/>
      <c r="D86" s="838"/>
      <c r="E86" s="1456"/>
      <c r="F86" s="576"/>
      <c r="G86" s="839"/>
      <c r="H86" s="901"/>
      <c r="I86" s="840">
        <f t="shared" si="11">G86*H86</f>
        <v>0</v>
      </c>
    </row>
    <row r="87" spans="1:9" ht="13.5" customHeight="1" thickTop="1" thickBot="1">
      <c r="A87" s="637"/>
      <c r="B87" s="1506"/>
      <c r="C87" s="639"/>
      <c r="D87" s="639"/>
      <c r="E87" s="1454"/>
      <c r="F87" s="637"/>
      <c r="G87" s="637"/>
      <c r="H87" s="902"/>
      <c r="I87" s="574"/>
    </row>
    <row r="88" spans="1:9" ht="14.25" customHeight="1" thickTop="1" thickBot="1">
      <c r="A88" s="473"/>
      <c r="B88" s="1507"/>
      <c r="C88" s="473"/>
      <c r="D88" s="473"/>
      <c r="E88" s="1457"/>
      <c r="F88" s="637"/>
      <c r="G88" s="637"/>
      <c r="H88" s="903" t="s">
        <v>250</v>
      </c>
      <c r="I88" s="575">
        <f>SUM(I77:I86)</f>
        <v>0</v>
      </c>
    </row>
    <row r="89" spans="1:9" ht="13.5" customHeight="1" thickTop="1">
      <c r="A89" s="473" t="s">
        <v>865</v>
      </c>
      <c r="B89" s="1507"/>
      <c r="C89" s="473"/>
      <c r="D89" s="473"/>
      <c r="E89" s="1457"/>
      <c r="F89" s="637"/>
      <c r="G89" s="637"/>
      <c r="H89" s="903"/>
      <c r="I89" s="574"/>
    </row>
    <row r="90" spans="1:9" ht="13.5" customHeight="1" thickBot="1">
      <c r="A90" s="473"/>
      <c r="B90" s="1507"/>
      <c r="C90" s="473"/>
      <c r="D90" s="473"/>
      <c r="E90" s="1457"/>
      <c r="F90" s="637"/>
      <c r="G90" s="637"/>
      <c r="H90" s="903"/>
      <c r="I90" s="574"/>
    </row>
    <row r="91" spans="1:22" s="231" customFormat="1" ht="13.5" customHeight="1" thickTop="1">
      <c r="A91" s="1741" t="s">
        <v>84</v>
      </c>
      <c r="B91" s="1743" t="s">
        <v>1091</v>
      </c>
      <c r="C91" s="1745" t="s">
        <v>243</v>
      </c>
      <c r="D91" s="1734" t="s">
        <v>1100</v>
      </c>
      <c r="E91" s="1747" t="s">
        <v>244</v>
      </c>
      <c r="F91" s="1734" t="s">
        <v>245</v>
      </c>
      <c r="G91" s="1734" t="s">
        <v>246</v>
      </c>
      <c r="H91" s="1734"/>
      <c r="I91" s="1735"/>
      <c r="J91" s="231"/>
      <c r="N91" s="1500"/>
      <c r="R91" s="1267"/>
      <c r="S91" s="1265"/>
      <c r="T91" s="1265"/>
      <c r="U91" s="1263"/>
      <c r="V91" s="1262"/>
    </row>
    <row r="92" spans="1:22" s="231" customFormat="1" ht="26.25" customHeight="1">
      <c r="A92" s="1742"/>
      <c r="B92" s="1744"/>
      <c r="C92" s="1746"/>
      <c r="D92" s="822"/>
      <c r="E92" s="1748"/>
      <c r="F92" s="822"/>
      <c r="G92" s="822" t="s">
        <v>247</v>
      </c>
      <c r="H92" s="822" t="s">
        <v>248</v>
      </c>
      <c r="I92" s="823" t="s">
        <v>249</v>
      </c>
      <c r="J92" s="231"/>
      <c r="N92" s="1500"/>
      <c r="R92" s="1267"/>
      <c r="S92" s="1265"/>
      <c r="T92" s="1265"/>
      <c r="U92" s="1263"/>
      <c r="V92" s="1262"/>
    </row>
    <row r="93" spans="1:9">
      <c r="A93" s="1224">
        <v>1</v>
      </c>
      <c r="B93" s="1508"/>
      <c r="C93" s="826"/>
      <c r="D93" s="826"/>
      <c r="E93" s="1455"/>
      <c r="F93" s="815"/>
      <c r="G93" s="232"/>
      <c r="H93" s="900"/>
      <c r="I93" s="827">
        <f t="shared" si="12" ref="I93:I102">G93*H93</f>
        <v>0</v>
      </c>
    </row>
    <row r="94" spans="1:9">
      <c r="A94" s="1224">
        <v>2</v>
      </c>
      <c r="B94" s="1508"/>
      <c r="C94" s="826"/>
      <c r="D94" s="826"/>
      <c r="E94" s="1455"/>
      <c r="F94" s="815"/>
      <c r="G94" s="232"/>
      <c r="H94" s="900"/>
      <c r="I94" s="827">
        <f t="shared" si="12">G94*H94</f>
        <v>0</v>
      </c>
    </row>
    <row r="95" spans="1:9">
      <c r="A95" s="1224">
        <v>3</v>
      </c>
      <c r="B95" s="1508"/>
      <c r="C95" s="826"/>
      <c r="D95" s="826"/>
      <c r="E95" s="1455"/>
      <c r="F95" s="815"/>
      <c r="G95" s="232"/>
      <c r="H95" s="900"/>
      <c r="I95" s="827">
        <f t="shared" si="12">G95*H95</f>
        <v>0</v>
      </c>
    </row>
    <row r="96" spans="1:9">
      <c r="A96" s="1224">
        <v>4</v>
      </c>
      <c r="B96" s="1508"/>
      <c r="C96" s="826"/>
      <c r="D96" s="826"/>
      <c r="E96" s="1455"/>
      <c r="F96" s="815"/>
      <c r="G96" s="232"/>
      <c r="H96" s="900"/>
      <c r="I96" s="827">
        <f t="shared" si="12">G96*H96</f>
        <v>0</v>
      </c>
    </row>
    <row r="97" spans="1:9">
      <c r="A97" s="1224">
        <v>5</v>
      </c>
      <c r="B97" s="1508"/>
      <c r="C97" s="826"/>
      <c r="D97" s="826"/>
      <c r="E97" s="1455"/>
      <c r="F97" s="815"/>
      <c r="G97" s="232"/>
      <c r="H97" s="900"/>
      <c r="I97" s="827">
        <f t="shared" si="12">G97*H97</f>
        <v>0</v>
      </c>
    </row>
    <row r="98" spans="1:9">
      <c r="A98" s="1224">
        <v>6</v>
      </c>
      <c r="B98" s="1508"/>
      <c r="C98" s="826"/>
      <c r="D98" s="826"/>
      <c r="E98" s="1455"/>
      <c r="F98" s="815"/>
      <c r="G98" s="232"/>
      <c r="H98" s="900"/>
      <c r="I98" s="827">
        <f t="shared" si="12">G98*H98</f>
        <v>0</v>
      </c>
    </row>
    <row r="99" spans="1:9">
      <c r="A99" s="1224">
        <v>7</v>
      </c>
      <c r="B99" s="1508"/>
      <c r="C99" s="826"/>
      <c r="D99" s="826"/>
      <c r="E99" s="1455"/>
      <c r="F99" s="815"/>
      <c r="G99" s="232"/>
      <c r="H99" s="900"/>
      <c r="I99" s="827">
        <f t="shared" si="12">G99*H99</f>
        <v>0</v>
      </c>
    </row>
    <row r="100" spans="1:9">
      <c r="A100" s="1224">
        <v>8</v>
      </c>
      <c r="B100" s="1508"/>
      <c r="C100" s="826"/>
      <c r="D100" s="826"/>
      <c r="E100" s="1455"/>
      <c r="F100" s="815"/>
      <c r="G100" s="232"/>
      <c r="H100" s="900"/>
      <c r="I100" s="827">
        <f t="shared" si="12">G100*H100</f>
        <v>0</v>
      </c>
    </row>
    <row r="101" spans="1:9">
      <c r="A101" s="1224">
        <v>9</v>
      </c>
      <c r="B101" s="1508"/>
      <c r="C101" s="826"/>
      <c r="D101" s="826"/>
      <c r="E101" s="1455"/>
      <c r="F101" s="815"/>
      <c r="G101" s="232"/>
      <c r="H101" s="900"/>
      <c r="I101" s="827">
        <f t="shared" si="12">G101*H101</f>
        <v>0</v>
      </c>
    </row>
    <row r="102" spans="1:9" ht="13.5" customHeight="1" thickBot="1">
      <c r="A102" s="1225">
        <v>10</v>
      </c>
      <c r="B102" s="1509"/>
      <c r="C102" s="838"/>
      <c r="D102" s="838"/>
      <c r="E102" s="1456"/>
      <c r="F102" s="576"/>
      <c r="G102" s="839"/>
      <c r="H102" s="901"/>
      <c r="I102" s="840">
        <f t="shared" si="12">G102*H102</f>
        <v>0</v>
      </c>
    </row>
    <row r="103" spans="1:9" ht="13.5" customHeight="1" thickTop="1" thickBot="1">
      <c r="A103" s="637"/>
      <c r="B103" s="1506"/>
      <c r="C103" s="639"/>
      <c r="D103" s="639"/>
      <c r="E103" s="1454"/>
      <c r="F103" s="637"/>
      <c r="G103" s="637"/>
      <c r="H103" s="902"/>
      <c r="I103" s="574"/>
    </row>
    <row r="104" spans="1:9" ht="14.25" customHeight="1" thickTop="1" thickBot="1">
      <c r="A104" s="473"/>
      <c r="B104" s="1507"/>
      <c r="C104" s="473"/>
      <c r="D104" s="473"/>
      <c r="E104" s="1457"/>
      <c r="F104" s="637"/>
      <c r="G104" s="637"/>
      <c r="H104" s="903" t="s">
        <v>250</v>
      </c>
      <c r="I104" s="575">
        <f>SUM(I93:I102)</f>
        <v>0</v>
      </c>
    </row>
    <row r="105" spans="1:9" ht="14.25" customHeight="1" thickTop="1" thickBot="1">
      <c r="A105" s="473"/>
      <c r="B105" s="1507"/>
      <c r="C105" s="473"/>
      <c r="D105" s="473"/>
      <c r="E105" s="1457"/>
      <c r="F105" s="637"/>
      <c r="G105" s="637"/>
      <c r="H105" s="904"/>
      <c r="I105" s="577"/>
    </row>
    <row r="106" spans="1:9" ht="14.25" customHeight="1" thickTop="1" thickBot="1">
      <c r="A106" s="473" t="s">
        <v>251</v>
      </c>
      <c r="B106" s="1507"/>
      <c r="C106" s="473"/>
      <c r="D106" s="473"/>
      <c r="E106" s="1457"/>
      <c r="F106" s="637"/>
      <c r="G106" s="637"/>
      <c r="H106" s="904"/>
      <c r="I106" s="847">
        <f>SUM(TOTAL_CASH,TOTAL_RECEIVABLE,TOTAL_INVESTMENT,TOTAL_TRANSPORT,TOTAL_OTHER_PROP,TOTAL_PROP)</f>
        <v>0</v>
      </c>
    </row>
    <row r="107" spans="1:9" ht="13.5" customHeight="1" thickTop="1">
      <c r="A107" s="473"/>
      <c r="B107" s="1507"/>
      <c r="C107" s="473"/>
      <c r="D107" s="473"/>
      <c r="E107" s="1457"/>
      <c r="F107" s="637"/>
      <c r="G107" s="637"/>
      <c r="H107" s="904"/>
      <c r="I107" s="473"/>
    </row>
    <row r="108" spans="1:9">
      <c r="A108" s="637"/>
      <c r="B108" s="1506"/>
      <c r="C108" s="637"/>
      <c r="D108" s="637"/>
      <c r="E108" s="1454"/>
      <c r="F108" s="637"/>
      <c r="G108" s="637"/>
      <c r="H108" s="899"/>
      <c r="I108" s="637"/>
    </row>
    <row r="109" spans="1:9" ht="18" customHeight="1">
      <c r="A109" s="816" t="s">
        <v>252</v>
      </c>
      <c r="B109" s="1501"/>
      <c r="C109" s="817"/>
      <c r="D109" s="817"/>
      <c r="E109" s="1453"/>
      <c r="F109" s="818"/>
      <c r="G109" s="818"/>
      <c r="H109" s="898"/>
      <c r="I109" s="818"/>
    </row>
    <row r="110" spans="1:26" s="340" customFormat="1" ht="13.5" customHeight="1" thickBot="1">
      <c r="A110" s="639"/>
      <c r="B110" s="1502"/>
      <c r="C110" s="639"/>
      <c r="D110" s="639"/>
      <c r="E110" s="1454"/>
      <c r="F110" s="637"/>
      <c r="G110" s="637"/>
      <c r="H110" s="899"/>
      <c r="I110" s="637"/>
      <c r="L110" s="340"/>
      <c r="N110" s="1490"/>
      <c r="R110" s="1262"/>
      <c r="S110" s="440"/>
      <c r="T110" s="440"/>
      <c r="U110" s="1263"/>
      <c r="V110" s="1262"/>
      <c r="Y110" s="340"/>
      <c r="Z110" s="340"/>
    </row>
    <row r="111" spans="1:26" s="340" customFormat="1" ht="13.5" customHeight="1" thickTop="1">
      <c r="A111" s="1741" t="s">
        <v>84</v>
      </c>
      <c r="B111" s="1743" t="s">
        <v>1091</v>
      </c>
      <c r="C111" s="1745" t="s">
        <v>243</v>
      </c>
      <c r="D111" s="1734" t="s">
        <v>1101</v>
      </c>
      <c r="E111" s="1747" t="s">
        <v>253</v>
      </c>
      <c r="F111" s="1734" t="s">
        <v>245</v>
      </c>
      <c r="G111" s="1734" t="s">
        <v>254</v>
      </c>
      <c r="H111" s="1734"/>
      <c r="I111" s="1735"/>
      <c r="L111" s="340"/>
      <c r="N111" s="1490"/>
      <c r="R111" s="1262"/>
      <c r="S111" s="440"/>
      <c r="T111" s="440"/>
      <c r="U111" s="1263"/>
      <c r="V111" s="1262"/>
      <c r="Y111" s="340"/>
      <c r="Z111" s="340"/>
    </row>
    <row r="112" spans="1:26" s="340" customFormat="1" ht="26.25" customHeight="1">
      <c r="A112" s="1742"/>
      <c r="B112" s="1744"/>
      <c r="C112" s="1746"/>
      <c r="D112" s="822"/>
      <c r="E112" s="1748"/>
      <c r="F112" s="822"/>
      <c r="G112" s="822" t="s">
        <v>247</v>
      </c>
      <c r="H112" s="822" t="s">
        <v>248</v>
      </c>
      <c r="I112" s="823" t="s">
        <v>249</v>
      </c>
      <c r="L112" s="340"/>
      <c r="N112" s="1490"/>
      <c r="R112" s="1262"/>
      <c r="S112" s="440"/>
      <c r="T112" s="440"/>
      <c r="U112" s="1263"/>
      <c r="V112" s="1262"/>
      <c r="Y112" s="340"/>
      <c r="Z112" s="340"/>
    </row>
    <row r="113" spans="1:9">
      <c r="A113" s="1224">
        <v>1</v>
      </c>
      <c r="B113" s="1504"/>
      <c r="C113" s="826"/>
      <c r="D113" s="826"/>
      <c r="E113" s="1455"/>
      <c r="F113" s="815"/>
      <c r="G113" s="232"/>
      <c r="H113" s="900"/>
      <c r="I113" s="827">
        <f t="shared" si="13" ref="I113:I122">G113*H113</f>
        <v>0</v>
      </c>
    </row>
    <row r="114" spans="1:9">
      <c r="A114" s="1224">
        <v>2</v>
      </c>
      <c r="B114" s="1504"/>
      <c r="C114" s="826"/>
      <c r="D114" s="826"/>
      <c r="E114" s="1455"/>
      <c r="F114" s="815"/>
      <c r="G114" s="232"/>
      <c r="H114" s="900"/>
      <c r="I114" s="827">
        <f t="shared" si="13">G114*H114</f>
        <v>0</v>
      </c>
    </row>
    <row r="115" spans="1:9">
      <c r="A115" s="1224">
        <v>3</v>
      </c>
      <c r="B115" s="1504"/>
      <c r="C115" s="826"/>
      <c r="D115" s="826"/>
      <c r="E115" s="1455"/>
      <c r="F115" s="815"/>
      <c r="G115" s="232"/>
      <c r="H115" s="900"/>
      <c r="I115" s="827">
        <f t="shared" si="13">G115*H115</f>
        <v>0</v>
      </c>
    </row>
    <row r="116" spans="1:9">
      <c r="A116" s="1224">
        <v>4</v>
      </c>
      <c r="B116" s="1504"/>
      <c r="C116" s="826"/>
      <c r="D116" s="826"/>
      <c r="E116" s="1455"/>
      <c r="F116" s="815"/>
      <c r="G116" s="232"/>
      <c r="H116" s="900"/>
      <c r="I116" s="827">
        <f t="shared" si="13">G116*H116</f>
        <v>0</v>
      </c>
    </row>
    <row r="117" spans="1:9">
      <c r="A117" s="1224">
        <v>5</v>
      </c>
      <c r="B117" s="1504"/>
      <c r="C117" s="826"/>
      <c r="D117" s="826"/>
      <c r="E117" s="1455"/>
      <c r="F117" s="815"/>
      <c r="G117" s="232"/>
      <c r="H117" s="900"/>
      <c r="I117" s="827">
        <f t="shared" si="13">G117*H117</f>
        <v>0</v>
      </c>
    </row>
    <row r="118" spans="1:9">
      <c r="A118" s="1224">
        <v>6</v>
      </c>
      <c r="B118" s="1504"/>
      <c r="C118" s="826"/>
      <c r="D118" s="826"/>
      <c r="E118" s="1455"/>
      <c r="F118" s="815"/>
      <c r="G118" s="232"/>
      <c r="H118" s="900"/>
      <c r="I118" s="827">
        <f t="shared" si="13">G118*H118</f>
        <v>0</v>
      </c>
    </row>
    <row r="119" spans="1:9">
      <c r="A119" s="1224">
        <v>7</v>
      </c>
      <c r="B119" s="1504"/>
      <c r="C119" s="826"/>
      <c r="D119" s="826"/>
      <c r="E119" s="1455"/>
      <c r="F119" s="815"/>
      <c r="G119" s="232"/>
      <c r="H119" s="900"/>
      <c r="I119" s="827">
        <f t="shared" si="13">G119*H119</f>
        <v>0</v>
      </c>
    </row>
    <row r="120" spans="1:9">
      <c r="A120" s="1224">
        <v>8</v>
      </c>
      <c r="B120" s="1504"/>
      <c r="C120" s="826"/>
      <c r="D120" s="826"/>
      <c r="E120" s="1455"/>
      <c r="F120" s="815"/>
      <c r="G120" s="232"/>
      <c r="H120" s="900"/>
      <c r="I120" s="827">
        <f t="shared" si="13">G120*H120</f>
        <v>0</v>
      </c>
    </row>
    <row r="121" spans="1:9">
      <c r="A121" s="1224">
        <v>9</v>
      </c>
      <c r="B121" s="1504"/>
      <c r="C121" s="826"/>
      <c r="D121" s="826"/>
      <c r="E121" s="1455"/>
      <c r="F121" s="815"/>
      <c r="G121" s="232"/>
      <c r="H121" s="900"/>
      <c r="I121" s="827">
        <f t="shared" si="13">G121*H121</f>
        <v>0</v>
      </c>
    </row>
    <row r="122" spans="1:9" ht="13.5" customHeight="1" thickBot="1">
      <c r="A122" s="1225">
        <v>10</v>
      </c>
      <c r="B122" s="1505"/>
      <c r="C122" s="838"/>
      <c r="D122" s="838"/>
      <c r="E122" s="1456"/>
      <c r="F122" s="576"/>
      <c r="G122" s="839"/>
      <c r="H122" s="901"/>
      <c r="I122" s="840">
        <f t="shared" si="13">G122*H122</f>
        <v>0</v>
      </c>
    </row>
    <row r="123" spans="1:9" ht="13.5" customHeight="1" thickTop="1" thickBot="1">
      <c r="A123" s="637"/>
      <c r="B123" s="1506"/>
      <c r="C123" s="639"/>
      <c r="D123" s="639"/>
      <c r="E123" s="1454"/>
      <c r="F123" s="637"/>
      <c r="G123" s="637"/>
      <c r="H123" s="902"/>
      <c r="I123" s="574"/>
    </row>
    <row r="124" spans="1:9" ht="14.25" customHeight="1" thickTop="1" thickBot="1">
      <c r="A124" s="473" t="s">
        <v>255</v>
      </c>
      <c r="B124" s="1507"/>
      <c r="C124" s="473"/>
      <c r="D124" s="473"/>
      <c r="E124" s="1457"/>
      <c r="F124" s="637"/>
      <c r="G124" s="637"/>
      <c r="H124" s="904"/>
      <c r="I124" s="847">
        <f>SUM(I113:I122)</f>
        <v>0</v>
      </c>
    </row>
    <row r="125" spans="1:9" ht="13.5" customHeight="1" thickTop="1" thickBot="1">
      <c r="A125" s="637"/>
      <c r="B125" s="1506"/>
      <c r="C125" s="637"/>
      <c r="D125" s="637"/>
      <c r="E125" s="1454"/>
      <c r="F125" s="637"/>
      <c r="G125" s="637"/>
      <c r="H125" s="899"/>
      <c r="I125" s="637"/>
    </row>
    <row r="126" spans="1:9" ht="16.5" customHeight="1" thickTop="1" thickBot="1">
      <c r="A126" s="848" t="s">
        <v>1102</v>
      </c>
      <c r="B126" s="1510"/>
      <c r="C126" s="849"/>
      <c r="D126" s="849"/>
      <c r="E126" s="1458"/>
      <c r="F126" s="849"/>
      <c r="G126" s="849"/>
      <c r="H126" s="905"/>
      <c r="I126" s="897">
        <f>TOTALASSETS-TOTALLIABILITIES</f>
        <v>0</v>
      </c>
    </row>
    <row r="127" ht="13.5" customHeight="1" thickTop="1"/>
  </sheetData>
  <sheetProtection formatCells="0" formatColumns="0" formatRows="0"/>
  <mergeCells count="62">
    <mergeCell ref="F91:F92"/>
    <mergeCell ref="G91:I91"/>
    <mergeCell ref="A111:A112"/>
    <mergeCell ref="B111:B112"/>
    <mergeCell ref="C111:C112"/>
    <mergeCell ref="D111:D112"/>
    <mergeCell ref="E111:E112"/>
    <mergeCell ref="F111:F112"/>
    <mergeCell ref="G111:I111"/>
    <mergeCell ref="A91:A92"/>
    <mergeCell ref="B91:B92"/>
    <mergeCell ref="C91:C92"/>
    <mergeCell ref="D91:D92"/>
    <mergeCell ref="E91:E92"/>
    <mergeCell ref="F59:F60"/>
    <mergeCell ref="G59:I59"/>
    <mergeCell ref="A75:A76"/>
    <mergeCell ref="B75:B76"/>
    <mergeCell ref="C75:C76"/>
    <mergeCell ref="D75:D76"/>
    <mergeCell ref="E75:E76"/>
    <mergeCell ref="F75:F76"/>
    <mergeCell ref="G75:I75"/>
    <mergeCell ref="A59:A60"/>
    <mergeCell ref="B59:B60"/>
    <mergeCell ref="C59:C60"/>
    <mergeCell ref="D59:D60"/>
    <mergeCell ref="E59:E60"/>
    <mergeCell ref="L39:O39"/>
    <mergeCell ref="K40:K43"/>
    <mergeCell ref="A43:A44"/>
    <mergeCell ref="B43:B44"/>
    <mergeCell ref="C43:C44"/>
    <mergeCell ref="D43:D44"/>
    <mergeCell ref="E43:E44"/>
    <mergeCell ref="F43:F44"/>
    <mergeCell ref="G43:I43"/>
    <mergeCell ref="D6:D7"/>
    <mergeCell ref="E6:E7"/>
    <mergeCell ref="F6:F7"/>
    <mergeCell ref="G6:I6"/>
    <mergeCell ref="A27:A28"/>
    <mergeCell ref="B27:B28"/>
    <mergeCell ref="C27:C28"/>
    <mergeCell ref="D27:D28"/>
    <mergeCell ref="E27:E28"/>
    <mergeCell ref="R2:V2"/>
    <mergeCell ref="R1:V1"/>
    <mergeCell ref="R38:V38"/>
    <mergeCell ref="F27:F28"/>
    <mergeCell ref="G27:I27"/>
    <mergeCell ref="K28:K33"/>
    <mergeCell ref="L7:O7"/>
    <mergeCell ref="K8:K12"/>
    <mergeCell ref="K13:K14"/>
    <mergeCell ref="K15:K23"/>
    <mergeCell ref="K24:K27"/>
    <mergeCell ref="K34:K37"/>
    <mergeCell ref="A1:I1"/>
    <mergeCell ref="A6:A7"/>
    <mergeCell ref="B6:B7"/>
    <mergeCell ref="C6:C7"/>
  </mergeCells>
  <dataValidations count="7">
    <dataValidation type="list" allowBlank="1" showInputMessage="1" showErrorMessage="1" sqref="C113:C122">
      <formula1>$L$40:$L$43</formula1>
    </dataValidation>
    <dataValidation type="list" allowBlank="1" showInputMessage="1" showErrorMessage="1" sqref="C93:C102">
      <formula1>$L$34:$L$37</formula1>
    </dataValidation>
    <dataValidation type="list" allowBlank="1" showInputMessage="1" showErrorMessage="1" sqref="C77:C86">
      <formula1>$L$28:$L$33</formula1>
    </dataValidation>
    <dataValidation type="list" allowBlank="1" showInputMessage="1" showErrorMessage="1" sqref="C61:C70">
      <formula1>$L$24:$L$27</formula1>
    </dataValidation>
    <dataValidation type="list" allowBlank="1" showInputMessage="1" showErrorMessage="1" sqref="C45:C54">
      <formula1>$L$15:$L$23</formula1>
    </dataValidation>
    <dataValidation type="list" allowBlank="1" showInputMessage="1" showErrorMessage="1" sqref="C29:C38">
      <formula1>$L$13:$L$14</formula1>
    </dataValidation>
    <dataValidation type="list" allowBlank="1" showInputMessage="1" showErrorMessage="1" sqref="C8:C22">
      <formula1>$L$8:$L$12</formula1>
    </dataValidation>
  </dataValidations>
  <printOptions horizontalCentered="1"/>
  <pageMargins left="0.7" right="0.7" top="0.75" bottom="0.75" header="0.3" footer="0.3"/>
  <pageSetup paperSize="5" scale="59" fitToHeight="0" orientation="portrait"/>
  <headerFooter alignWithMargins="0">
    <oddHeader>&amp;R&amp;"Arial,Bold"&amp;14C.2.1.&amp;P</oddHeader>
    <oddFooter>&amp;L&amp;8Page &amp;P of &amp;N&amp;R&amp;8Printed on &amp;D,&amp;T</oddFooter>
  </headerFooter>
  <rowBreaks count="1" manualBreakCount="1">
    <brk id="72" max="8" man="1"/>
  </rowBreaks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ff00"/>
  </sheetPr>
  <dimension ref="A1:G267"/>
  <sheetViews>
    <sheetView view="normal" workbookViewId="0">
      <selection pane="topLeft" activeCell="E18" sqref="E18"/>
    </sheetView>
  </sheetViews>
  <sheetFormatPr defaultRowHeight="12.75" baseColWidth="0"/>
  <cols>
    <col min="1" max="1" width="5.99609375" customWidth="1"/>
    <col min="2" max="2" width="6.7109375" customWidth="1"/>
    <col min="3" max="3" width="3.8515625" customWidth="1"/>
    <col min="4" max="4" width="37.28125" customWidth="1"/>
    <col min="5" max="5" width="19.13671875" customWidth="1"/>
    <col min="6" max="6" width="22.7109375" customWidth="1"/>
    <col min="7" max="7" width="40.7109375" customWidth="1"/>
  </cols>
  <sheetData>
    <row r="1" spans="1:1" s="378" customFormat="1" ht="20.25" customHeight="1">
      <c r="A1" s="399" t="s">
        <v>923</v>
      </c>
    </row>
    <row r="2" s="378" customFormat="1"/>
    <row r="3" spans="1:1" s="378" customFormat="1" ht="14.25" customHeight="1">
      <c r="A3" s="596" t="s">
        <v>428</v>
      </c>
    </row>
    <row r="4" s="378" customFormat="1"/>
    <row r="5" spans="1:7" s="407" customFormat="1" ht="28.5" customHeight="1">
      <c r="A5" s="1460" t="s">
        <v>223</v>
      </c>
      <c r="B5" s="1461" t="s">
        <v>924</v>
      </c>
      <c r="C5" s="1757"/>
      <c r="D5" s="1461" t="s">
        <v>925</v>
      </c>
      <c r="E5" s="1461" t="s">
        <v>926</v>
      </c>
      <c r="F5" s="1461" t="s">
        <v>927</v>
      </c>
      <c r="G5" s="1460" t="s">
        <v>928</v>
      </c>
    </row>
    <row r="6" spans="1:7" s="597" customFormat="1" ht="15.75" customHeight="1" thickBot="1">
      <c r="A6" s="1462" t="s">
        <v>65</v>
      </c>
      <c r="B6" s="1452" t="s">
        <v>64</v>
      </c>
      <c r="C6" s="1758"/>
      <c r="D6" s="1452" t="s">
        <v>66</v>
      </c>
      <c r="E6" s="1452" t="s">
        <v>67</v>
      </c>
      <c r="F6" s="1452" t="s">
        <v>68</v>
      </c>
      <c r="G6" s="1462" t="s">
        <v>100</v>
      </c>
    </row>
    <row r="7" spans="1:7" s="378" customFormat="1">
      <c r="A7" s="1463">
        <v>1</v>
      </c>
      <c r="B7" s="1759" t="s">
        <v>1422</v>
      </c>
      <c r="C7" s="1760"/>
      <c r="D7" s="1464" t="s">
        <v>940</v>
      </c>
      <c r="E7" s="1465" t="s">
        <v>1461</v>
      </c>
      <c r="F7" s="1466" t="s">
        <v>1462</v>
      </c>
      <c r="G7" s="1467"/>
    </row>
    <row r="8" spans="1:7" s="378" customFormat="1">
      <c r="A8" s="1468">
        <v>2</v>
      </c>
      <c r="B8" s="1753" t="s">
        <v>1423</v>
      </c>
      <c r="C8" s="1754"/>
      <c r="D8" s="1469" t="s">
        <v>941</v>
      </c>
      <c r="E8" s="1470" t="s">
        <v>1461</v>
      </c>
      <c r="F8" s="1471" t="s">
        <v>1463</v>
      </c>
      <c r="G8" s="1472"/>
    </row>
    <row r="9" spans="1:7" s="378" customFormat="1">
      <c r="A9" s="1468">
        <v>3</v>
      </c>
      <c r="B9" s="1753" t="s">
        <v>833</v>
      </c>
      <c r="C9" s="1754"/>
      <c r="D9" s="1469" t="s">
        <v>1459</v>
      </c>
      <c r="E9" s="1470" t="s">
        <v>1461</v>
      </c>
      <c r="F9" s="1471" t="s">
        <v>1464</v>
      </c>
      <c r="G9" s="1472"/>
    </row>
    <row r="10" spans="1:7">
      <c r="A10" s="1468">
        <v>4</v>
      </c>
      <c r="B10" s="1753" t="s">
        <v>835</v>
      </c>
      <c r="C10" s="1754"/>
      <c r="D10" s="1469" t="s">
        <v>960</v>
      </c>
      <c r="E10" s="1470" t="s">
        <v>1461</v>
      </c>
      <c r="F10" s="1471" t="s">
        <v>1465</v>
      </c>
      <c r="G10" s="1472"/>
    </row>
    <row r="11" spans="1:7">
      <c r="A11" s="1468">
        <v>5</v>
      </c>
      <c r="B11" s="1753" t="s">
        <v>839</v>
      </c>
      <c r="C11" s="1754"/>
      <c r="D11" s="1469" t="s">
        <v>945</v>
      </c>
      <c r="E11" s="1470" t="s">
        <v>1461</v>
      </c>
      <c r="F11" s="1471" t="s">
        <v>1466</v>
      </c>
      <c r="G11" s="1472"/>
    </row>
    <row r="12" spans="1:7">
      <c r="A12" s="1468">
        <v>6</v>
      </c>
      <c r="B12" s="1753" t="s">
        <v>843</v>
      </c>
      <c r="C12" s="1754"/>
      <c r="D12" s="1469" t="s">
        <v>947</v>
      </c>
      <c r="E12" s="1470" t="s">
        <v>1461</v>
      </c>
      <c r="F12" s="1471" t="s">
        <v>1467</v>
      </c>
      <c r="G12" s="1472"/>
    </row>
    <row r="13" spans="1:7">
      <c r="A13" s="1468"/>
      <c r="B13" s="1753"/>
      <c r="C13" s="1754"/>
      <c r="D13" s="1469"/>
      <c r="E13" s="1470"/>
      <c r="F13" s="1471"/>
      <c r="G13" s="1472"/>
    </row>
    <row r="14" spans="1:7">
      <c r="A14" s="1468"/>
      <c r="B14" s="1753"/>
      <c r="C14" s="1754"/>
      <c r="D14" s="1469"/>
      <c r="E14" s="1470"/>
      <c r="F14" s="1471"/>
      <c r="G14" s="1472"/>
    </row>
    <row r="15" spans="1:7">
      <c r="A15" s="1468"/>
      <c r="B15" s="1753"/>
      <c r="C15" s="1754"/>
      <c r="D15" s="1469"/>
      <c r="E15" s="1470"/>
      <c r="F15" s="1471"/>
      <c r="G15" s="1472"/>
    </row>
    <row r="16" spans="1:7">
      <c r="A16" s="1468"/>
      <c r="B16" s="1753"/>
      <c r="C16" s="1754"/>
      <c r="D16" s="1469"/>
      <c r="E16" s="1470"/>
      <c r="F16" s="1471"/>
      <c r="G16" s="1472"/>
    </row>
    <row r="17" spans="1:7">
      <c r="A17" s="1468"/>
      <c r="B17" s="1753"/>
      <c r="C17" s="1754"/>
      <c r="D17" s="1469"/>
      <c r="E17" s="1470"/>
      <c r="F17" s="1471"/>
      <c r="G17" s="1472"/>
    </row>
    <row r="18" spans="1:7">
      <c r="A18" s="1468"/>
      <c r="B18" s="1753"/>
      <c r="C18" s="1754"/>
      <c r="D18" s="1469"/>
      <c r="E18" s="1470"/>
      <c r="F18" s="1471"/>
      <c r="G18" s="1472"/>
    </row>
    <row r="19" spans="1:7">
      <c r="A19" s="1468"/>
      <c r="B19" s="1753"/>
      <c r="C19" s="1754"/>
      <c r="D19" s="1469"/>
      <c r="E19" s="1470"/>
      <c r="F19" s="1471"/>
      <c r="G19" s="1472"/>
    </row>
    <row r="20" spans="1:7">
      <c r="A20" s="1468"/>
      <c r="B20" s="1753"/>
      <c r="C20" s="1754"/>
      <c r="D20" s="1469"/>
      <c r="E20" s="1470"/>
      <c r="F20" s="1471"/>
      <c r="G20" s="1472"/>
    </row>
    <row r="21" spans="1:7">
      <c r="A21" s="1468"/>
      <c r="B21" s="1753"/>
      <c r="C21" s="1754"/>
      <c r="D21" s="1469"/>
      <c r="E21" s="1470"/>
      <c r="F21" s="1471"/>
      <c r="G21" s="1472"/>
    </row>
    <row r="22" spans="1:7">
      <c r="A22" s="1468"/>
      <c r="B22" s="1753"/>
      <c r="C22" s="1754"/>
      <c r="D22" s="1469"/>
      <c r="E22" s="1470"/>
      <c r="F22" s="1471"/>
      <c r="G22" s="1472"/>
    </row>
    <row r="23" spans="1:7">
      <c r="A23" s="1468"/>
      <c r="B23" s="1753"/>
      <c r="C23" s="1754"/>
      <c r="D23" s="1469"/>
      <c r="E23" s="1470"/>
      <c r="F23" s="1471"/>
      <c r="G23" s="1472"/>
    </row>
    <row r="24" spans="1:7">
      <c r="A24" s="1468"/>
      <c r="B24" s="1753"/>
      <c r="C24" s="1754"/>
      <c r="D24" s="1469"/>
      <c r="E24" s="1470"/>
      <c r="F24" s="1471"/>
      <c r="G24" s="1472"/>
    </row>
    <row r="25" spans="1:7">
      <c r="A25" s="1468"/>
      <c r="B25" s="1753"/>
      <c r="C25" s="1754"/>
      <c r="D25" s="1469"/>
      <c r="E25" s="1470"/>
      <c r="F25" s="1471"/>
      <c r="G25" s="1472"/>
    </row>
    <row r="26" spans="1:7">
      <c r="A26" s="1468"/>
      <c r="B26" s="1753"/>
      <c r="C26" s="1754"/>
      <c r="D26" s="1469"/>
      <c r="E26" s="1470"/>
      <c r="F26" s="1471"/>
      <c r="G26" s="1472"/>
    </row>
    <row r="27" spans="1:7">
      <c r="A27" s="1468"/>
      <c r="B27" s="1753"/>
      <c r="C27" s="1754"/>
      <c r="D27" s="1469"/>
      <c r="E27" s="1470"/>
      <c r="F27" s="1471"/>
      <c r="G27" s="1472"/>
    </row>
    <row r="28" spans="1:7">
      <c r="A28" s="1468"/>
      <c r="B28" s="1753"/>
      <c r="C28" s="1754"/>
      <c r="D28" s="1469"/>
      <c r="E28" s="1470"/>
      <c r="F28" s="1471"/>
      <c r="G28" s="1472"/>
    </row>
    <row r="29" spans="1:7">
      <c r="A29" s="1468"/>
      <c r="B29" s="1753"/>
      <c r="C29" s="1754"/>
      <c r="D29" s="1469"/>
      <c r="E29" s="1470"/>
      <c r="F29" s="1471"/>
      <c r="G29" s="1472"/>
    </row>
    <row r="30" spans="1:7">
      <c r="A30" s="1468"/>
      <c r="B30" s="1753"/>
      <c r="C30" s="1754"/>
      <c r="D30" s="1469"/>
      <c r="E30" s="1470"/>
      <c r="F30" s="1471"/>
      <c r="G30" s="1472"/>
    </row>
    <row r="31" spans="1:7">
      <c r="A31" s="1468"/>
      <c r="B31" s="1753"/>
      <c r="C31" s="1754"/>
      <c r="D31" s="1469"/>
      <c r="E31" s="1470"/>
      <c r="F31" s="1471"/>
      <c r="G31" s="1472"/>
    </row>
    <row r="32" spans="1:7">
      <c r="A32" s="1468"/>
      <c r="B32" s="1753"/>
      <c r="C32" s="1754"/>
      <c r="D32" s="1469"/>
      <c r="E32" s="1470"/>
      <c r="F32" s="1471"/>
      <c r="G32" s="1472"/>
    </row>
    <row r="33" spans="1:7">
      <c r="A33" s="1468"/>
      <c r="B33" s="1753"/>
      <c r="C33" s="1754"/>
      <c r="D33" s="1469"/>
      <c r="E33" s="1470"/>
      <c r="F33" s="1471"/>
      <c r="G33" s="1472"/>
    </row>
    <row r="34" spans="1:7">
      <c r="A34" s="1468"/>
      <c r="B34" s="1753"/>
      <c r="C34" s="1754"/>
      <c r="D34" s="1469"/>
      <c r="E34" s="1470"/>
      <c r="F34" s="1471"/>
      <c r="G34" s="1472"/>
    </row>
    <row r="35" spans="1:7">
      <c r="A35" s="1468"/>
      <c r="B35" s="1753"/>
      <c r="C35" s="1754"/>
      <c r="D35" s="1469"/>
      <c r="E35" s="1470"/>
      <c r="F35" s="1471"/>
      <c r="G35" s="1472"/>
    </row>
    <row r="36" spans="1:7">
      <c r="A36" s="1468"/>
      <c r="B36" s="1753"/>
      <c r="C36" s="1754"/>
      <c r="D36" s="1469"/>
      <c r="E36" s="1470"/>
      <c r="F36" s="1471"/>
      <c r="G36" s="1472"/>
    </row>
    <row r="37" spans="1:7">
      <c r="A37" s="1468"/>
      <c r="B37" s="1753"/>
      <c r="C37" s="1754"/>
      <c r="D37" s="1469"/>
      <c r="E37" s="1470"/>
      <c r="F37" s="1471"/>
      <c r="G37" s="1472"/>
    </row>
    <row r="38" spans="1:7">
      <c r="A38" s="1468"/>
      <c r="B38" s="1753"/>
      <c r="C38" s="1754"/>
      <c r="D38" s="1469"/>
      <c r="E38" s="1470"/>
      <c r="F38" s="1471"/>
      <c r="G38" s="1472"/>
    </row>
    <row r="39" spans="1:7">
      <c r="A39" s="1468"/>
      <c r="B39" s="1753"/>
      <c r="C39" s="1754"/>
      <c r="D39" s="1469"/>
      <c r="E39" s="1470"/>
      <c r="F39" s="1471"/>
      <c r="G39" s="1472"/>
    </row>
    <row r="40" spans="1:7">
      <c r="A40" s="1468"/>
      <c r="B40" s="1753"/>
      <c r="C40" s="1754"/>
      <c r="D40" s="1469"/>
      <c r="E40" s="1470"/>
      <c r="F40" s="1471"/>
      <c r="G40" s="1472"/>
    </row>
    <row r="41" spans="1:7">
      <c r="A41" s="1468"/>
      <c r="B41" s="1753"/>
      <c r="C41" s="1754"/>
      <c r="D41" s="1469"/>
      <c r="E41" s="1470"/>
      <c r="F41" s="1471"/>
      <c r="G41" s="1472"/>
    </row>
    <row r="42" spans="1:7">
      <c r="A42" s="1468"/>
      <c r="B42" s="1753"/>
      <c r="C42" s="1754"/>
      <c r="D42" s="1469"/>
      <c r="E42" s="1470"/>
      <c r="F42" s="1471"/>
      <c r="G42" s="1472"/>
    </row>
    <row r="43" spans="1:7">
      <c r="A43" s="1468"/>
      <c r="B43" s="1753"/>
      <c r="C43" s="1754"/>
      <c r="D43" s="1469"/>
      <c r="E43" s="1470"/>
      <c r="F43" s="1471"/>
      <c r="G43" s="1472"/>
    </row>
    <row r="44" spans="1:7">
      <c r="A44" s="1468"/>
      <c r="B44" s="1753"/>
      <c r="C44" s="1754"/>
      <c r="D44" s="1469"/>
      <c r="E44" s="1470"/>
      <c r="F44" s="1471"/>
      <c r="G44" s="1472"/>
    </row>
    <row r="45" spans="1:7">
      <c r="A45" s="1468"/>
      <c r="B45" s="1753"/>
      <c r="C45" s="1754"/>
      <c r="D45" s="1469"/>
      <c r="E45" s="1470"/>
      <c r="F45" s="1471"/>
      <c r="G45" s="1472"/>
    </row>
    <row r="46" spans="1:7">
      <c r="A46" s="1468"/>
      <c r="B46" s="1753"/>
      <c r="C46" s="1754"/>
      <c r="D46" s="1469"/>
      <c r="E46" s="1470"/>
      <c r="F46" s="1471"/>
      <c r="G46" s="1472"/>
    </row>
    <row r="47" spans="1:7">
      <c r="A47" s="1468"/>
      <c r="B47" s="1753"/>
      <c r="C47" s="1754"/>
      <c r="D47" s="1469"/>
      <c r="E47" s="1470"/>
      <c r="F47" s="1471"/>
      <c r="G47" s="1472"/>
    </row>
    <row r="48" spans="1:7">
      <c r="A48" s="1468"/>
      <c r="B48" s="1753"/>
      <c r="C48" s="1754"/>
      <c r="D48" s="1469"/>
      <c r="E48" s="1470"/>
      <c r="F48" s="1471"/>
      <c r="G48" s="1472"/>
    </row>
    <row r="49" spans="1:7">
      <c r="A49" s="1468"/>
      <c r="B49" s="1753"/>
      <c r="C49" s="1754"/>
      <c r="D49" s="1469"/>
      <c r="E49" s="1470"/>
      <c r="F49" s="1471"/>
      <c r="G49" s="1472"/>
    </row>
    <row r="50" spans="1:7">
      <c r="A50" s="1468"/>
      <c r="B50" s="1753"/>
      <c r="C50" s="1754"/>
      <c r="D50" s="1469"/>
      <c r="E50" s="1470"/>
      <c r="F50" s="1471"/>
      <c r="G50" s="1472"/>
    </row>
    <row r="51" spans="1:7">
      <c r="A51" s="1468"/>
      <c r="B51" s="1753"/>
      <c r="C51" s="1754"/>
      <c r="D51" s="1469"/>
      <c r="E51" s="1470"/>
      <c r="F51" s="1471"/>
      <c r="G51" s="1472"/>
    </row>
    <row r="52" spans="1:7">
      <c r="A52" s="1468"/>
      <c r="B52" s="1753"/>
      <c r="C52" s="1754"/>
      <c r="D52" s="1469"/>
      <c r="E52" s="1470"/>
      <c r="F52" s="1471"/>
      <c r="G52" s="1472"/>
    </row>
    <row r="53" spans="1:7">
      <c r="A53" s="1468"/>
      <c r="B53" s="1753"/>
      <c r="C53" s="1754"/>
      <c r="D53" s="1469"/>
      <c r="E53" s="1470"/>
      <c r="F53" s="1471"/>
      <c r="G53" s="1472"/>
    </row>
    <row r="54" spans="1:7">
      <c r="A54" s="1468"/>
      <c r="B54" s="1753"/>
      <c r="C54" s="1754"/>
      <c r="D54" s="1469"/>
      <c r="E54" s="1470"/>
      <c r="F54" s="1471"/>
      <c r="G54" s="1472"/>
    </row>
    <row r="55" spans="1:7">
      <c r="A55" s="1468"/>
      <c r="B55" s="1753"/>
      <c r="C55" s="1754"/>
      <c r="D55" s="1469"/>
      <c r="E55" s="1470"/>
      <c r="F55" s="1471"/>
      <c r="G55" s="1472"/>
    </row>
    <row r="56" spans="1:7">
      <c r="A56" s="1468"/>
      <c r="B56" s="1753"/>
      <c r="C56" s="1754"/>
      <c r="D56" s="1469"/>
      <c r="E56" s="1470"/>
      <c r="F56" s="1471"/>
      <c r="G56" s="1472"/>
    </row>
    <row r="57" spans="1:7">
      <c r="A57" s="1468"/>
      <c r="B57" s="1753"/>
      <c r="C57" s="1754"/>
      <c r="D57" s="1469"/>
      <c r="E57" s="1470"/>
      <c r="F57" s="1471"/>
      <c r="G57" s="1472"/>
    </row>
    <row r="58" spans="1:7">
      <c r="A58" s="1468"/>
      <c r="B58" s="1753"/>
      <c r="C58" s="1754"/>
      <c r="D58" s="1469"/>
      <c r="E58" s="1470"/>
      <c r="F58" s="1471"/>
      <c r="G58" s="1472"/>
    </row>
    <row r="59" spans="1:7">
      <c r="A59" s="1468"/>
      <c r="B59" s="1753"/>
      <c r="C59" s="1754"/>
      <c r="D59" s="1469"/>
      <c r="E59" s="1470"/>
      <c r="F59" s="1471"/>
      <c r="G59" s="1472"/>
    </row>
    <row r="60" spans="1:7">
      <c r="A60" s="1468"/>
      <c r="B60" s="1753"/>
      <c r="C60" s="1754"/>
      <c r="D60" s="1469"/>
      <c r="E60" s="1470"/>
      <c r="F60" s="1471"/>
      <c r="G60" s="1472"/>
    </row>
    <row r="61" spans="1:7">
      <c r="A61" s="1468"/>
      <c r="B61" s="1753"/>
      <c r="C61" s="1754"/>
      <c r="D61" s="1469"/>
      <c r="E61" s="1470"/>
      <c r="F61" s="1471"/>
      <c r="G61" s="1472"/>
    </row>
    <row r="62" spans="1:7">
      <c r="A62" s="1468"/>
      <c r="B62" s="1753"/>
      <c r="C62" s="1754"/>
      <c r="D62" s="1469"/>
      <c r="E62" s="1470"/>
      <c r="F62" s="1471"/>
      <c r="G62" s="1472"/>
    </row>
    <row r="63" spans="1:7">
      <c r="A63" s="1468"/>
      <c r="B63" s="1753"/>
      <c r="C63" s="1754"/>
      <c r="D63" s="1469"/>
      <c r="E63" s="1470"/>
      <c r="F63" s="1471"/>
      <c r="G63" s="1472"/>
    </row>
    <row r="64" spans="1:7">
      <c r="A64" s="1468"/>
      <c r="B64" s="1753"/>
      <c r="C64" s="1754"/>
      <c r="D64" s="1469"/>
      <c r="E64" s="1470"/>
      <c r="F64" s="1471"/>
      <c r="G64" s="1472"/>
    </row>
    <row r="65" spans="1:7">
      <c r="A65" s="1468"/>
      <c r="B65" s="1753"/>
      <c r="C65" s="1754"/>
      <c r="D65" s="1469"/>
      <c r="E65" s="1470"/>
      <c r="F65" s="1471"/>
      <c r="G65" s="1472"/>
    </row>
    <row r="66" spans="1:7">
      <c r="A66" s="1468"/>
      <c r="B66" s="1753"/>
      <c r="C66" s="1754"/>
      <c r="D66" s="1469"/>
      <c r="E66" s="1470"/>
      <c r="F66" s="1471"/>
      <c r="G66" s="1472"/>
    </row>
    <row r="67" spans="1:7">
      <c r="A67" s="1468"/>
      <c r="B67" s="1753"/>
      <c r="C67" s="1754"/>
      <c r="D67" s="1469"/>
      <c r="E67" s="1470"/>
      <c r="F67" s="1471"/>
      <c r="G67" s="1472"/>
    </row>
    <row r="68" spans="1:7">
      <c r="A68" s="1468"/>
      <c r="B68" s="1753"/>
      <c r="C68" s="1754"/>
      <c r="D68" s="1469"/>
      <c r="E68" s="1470"/>
      <c r="F68" s="1471"/>
      <c r="G68" s="1472"/>
    </row>
    <row r="69" spans="1:7">
      <c r="A69" s="1468"/>
      <c r="B69" s="1753"/>
      <c r="C69" s="1754"/>
      <c r="D69" s="1469"/>
      <c r="E69" s="1470"/>
      <c r="F69" s="1471"/>
      <c r="G69" s="1472"/>
    </row>
    <row r="70" spans="1:7">
      <c r="A70" s="1468"/>
      <c r="B70" s="1753"/>
      <c r="C70" s="1754"/>
      <c r="D70" s="1469"/>
      <c r="E70" s="1470"/>
      <c r="F70" s="1471"/>
      <c r="G70" s="1472"/>
    </row>
    <row r="71" spans="1:7">
      <c r="A71" s="1468"/>
      <c r="B71" s="1753"/>
      <c r="C71" s="1754"/>
      <c r="D71" s="1469"/>
      <c r="E71" s="1470"/>
      <c r="F71" s="1471"/>
      <c r="G71" s="1472"/>
    </row>
    <row r="72" spans="1:7">
      <c r="A72" s="1468"/>
      <c r="B72" s="1753"/>
      <c r="C72" s="1754"/>
      <c r="D72" s="1469"/>
      <c r="E72" s="1470"/>
      <c r="F72" s="1471"/>
      <c r="G72" s="1472"/>
    </row>
    <row r="73" spans="1:7">
      <c r="A73" s="1468"/>
      <c r="B73" s="1753"/>
      <c r="C73" s="1754"/>
      <c r="D73" s="1469"/>
      <c r="E73" s="1470"/>
      <c r="F73" s="1471"/>
      <c r="G73" s="1472"/>
    </row>
    <row r="74" spans="1:7">
      <c r="A74" s="1468"/>
      <c r="B74" s="1753"/>
      <c r="C74" s="1754"/>
      <c r="D74" s="1469"/>
      <c r="E74" s="1470"/>
      <c r="F74" s="1471"/>
      <c r="G74" s="1472"/>
    </row>
    <row r="75" spans="1:7">
      <c r="A75" s="1468"/>
      <c r="B75" s="1753"/>
      <c r="C75" s="1754"/>
      <c r="D75" s="1469"/>
      <c r="E75" s="1470"/>
      <c r="F75" s="1471"/>
      <c r="G75" s="1472"/>
    </row>
    <row r="76" spans="1:7">
      <c r="A76" s="1468"/>
      <c r="B76" s="1753"/>
      <c r="C76" s="1754"/>
      <c r="D76" s="1469"/>
      <c r="E76" s="1470"/>
      <c r="F76" s="1471"/>
      <c r="G76" s="1472"/>
    </row>
    <row r="77" spans="1:7">
      <c r="A77" s="1468"/>
      <c r="B77" s="1753"/>
      <c r="C77" s="1754"/>
      <c r="D77" s="1469"/>
      <c r="E77" s="1470"/>
      <c r="F77" s="1471"/>
      <c r="G77" s="1472"/>
    </row>
    <row r="78" spans="1:7">
      <c r="A78" s="1468"/>
      <c r="B78" s="1753"/>
      <c r="C78" s="1754"/>
      <c r="D78" s="1469"/>
      <c r="E78" s="1470"/>
      <c r="F78" s="1471"/>
      <c r="G78" s="1472"/>
    </row>
    <row r="79" spans="1:7">
      <c r="A79" s="1468"/>
      <c r="B79" s="1753"/>
      <c r="C79" s="1754"/>
      <c r="D79" s="1469"/>
      <c r="E79" s="1470"/>
      <c r="F79" s="1471"/>
      <c r="G79" s="1472"/>
    </row>
    <row r="80" spans="1:7">
      <c r="A80" s="1468"/>
      <c r="B80" s="1753"/>
      <c r="C80" s="1754"/>
      <c r="D80" s="1469"/>
      <c r="E80" s="1470"/>
      <c r="F80" s="1471"/>
      <c r="G80" s="1472"/>
    </row>
    <row r="81" spans="1:7">
      <c r="A81" s="1468"/>
      <c r="B81" s="1753"/>
      <c r="C81" s="1754"/>
      <c r="D81" s="1469"/>
      <c r="E81" s="1470"/>
      <c r="F81" s="1471"/>
      <c r="G81" s="1472"/>
    </row>
    <row r="82" spans="1:7">
      <c r="A82" s="1468"/>
      <c r="B82" s="1753"/>
      <c r="C82" s="1754"/>
      <c r="D82" s="1469"/>
      <c r="E82" s="1470"/>
      <c r="F82" s="1471"/>
      <c r="G82" s="1472"/>
    </row>
    <row r="83" spans="1:7">
      <c r="A83" s="1468"/>
      <c r="B83" s="1753"/>
      <c r="C83" s="1754"/>
      <c r="D83" s="1469"/>
      <c r="E83" s="1470"/>
      <c r="F83" s="1471"/>
      <c r="G83" s="1472"/>
    </row>
    <row r="84" spans="1:7">
      <c r="A84" s="1468"/>
      <c r="B84" s="1753"/>
      <c r="C84" s="1754"/>
      <c r="D84" s="1469"/>
      <c r="E84" s="1470"/>
      <c r="F84" s="1471"/>
      <c r="G84" s="1472"/>
    </row>
    <row r="85" spans="1:7">
      <c r="A85" s="1468"/>
      <c r="B85" s="1753"/>
      <c r="C85" s="1754"/>
      <c r="D85" s="1469"/>
      <c r="E85" s="1470"/>
      <c r="F85" s="1471"/>
      <c r="G85" s="1472"/>
    </row>
    <row r="86" spans="1:7">
      <c r="A86" s="1468"/>
      <c r="B86" s="1753"/>
      <c r="C86" s="1754"/>
      <c r="D86" s="1469"/>
      <c r="E86" s="1470"/>
      <c r="F86" s="1471"/>
      <c r="G86" s="1472"/>
    </row>
    <row r="87" spans="1:7">
      <c r="A87" s="1468"/>
      <c r="B87" s="1753"/>
      <c r="C87" s="1754"/>
      <c r="D87" s="1469"/>
      <c r="E87" s="1470"/>
      <c r="F87" s="1471"/>
      <c r="G87" s="1472"/>
    </row>
    <row r="88" spans="1:7">
      <c r="A88" s="1468"/>
      <c r="B88" s="1753"/>
      <c r="C88" s="1754"/>
      <c r="D88" s="1469"/>
      <c r="E88" s="1470"/>
      <c r="F88" s="1471"/>
      <c r="G88" s="1472"/>
    </row>
    <row r="89" spans="1:7">
      <c r="A89" s="1468"/>
      <c r="B89" s="1753"/>
      <c r="C89" s="1754"/>
      <c r="D89" s="1469"/>
      <c r="E89" s="1470"/>
      <c r="F89" s="1471"/>
      <c r="G89" s="1472"/>
    </row>
    <row r="90" spans="1:7">
      <c r="A90" s="1468"/>
      <c r="B90" s="1753"/>
      <c r="C90" s="1754"/>
      <c r="D90" s="1469"/>
      <c r="E90" s="1470"/>
      <c r="F90" s="1471"/>
      <c r="G90" s="1472"/>
    </row>
    <row r="91" spans="1:7">
      <c r="A91" s="1468"/>
      <c r="B91" s="1753"/>
      <c r="C91" s="1754"/>
      <c r="D91" s="1469"/>
      <c r="E91" s="1470"/>
      <c r="F91" s="1471"/>
      <c r="G91" s="1472"/>
    </row>
    <row r="92" spans="1:7">
      <c r="A92" s="1468"/>
      <c r="B92" s="1753"/>
      <c r="C92" s="1754"/>
      <c r="D92" s="1469"/>
      <c r="E92" s="1470"/>
      <c r="F92" s="1471"/>
      <c r="G92" s="1472"/>
    </row>
    <row r="93" spans="1:7">
      <c r="A93" s="1468"/>
      <c r="B93" s="1753"/>
      <c r="C93" s="1754"/>
      <c r="D93" s="1469"/>
      <c r="E93" s="1470"/>
      <c r="F93" s="1471"/>
      <c r="G93" s="1472"/>
    </row>
    <row r="94" spans="1:7">
      <c r="A94" s="1468"/>
      <c r="B94" s="1753"/>
      <c r="C94" s="1754"/>
      <c r="D94" s="1469"/>
      <c r="E94" s="1470"/>
      <c r="F94" s="1471"/>
      <c r="G94" s="1472"/>
    </row>
    <row r="95" spans="1:7">
      <c r="A95" s="1468"/>
      <c r="B95" s="1753"/>
      <c r="C95" s="1754"/>
      <c r="D95" s="1469"/>
      <c r="E95" s="1470"/>
      <c r="F95" s="1471"/>
      <c r="G95" s="1472"/>
    </row>
    <row r="96" spans="1:7">
      <c r="A96" s="1468"/>
      <c r="B96" s="1753"/>
      <c r="C96" s="1754"/>
      <c r="D96" s="1469"/>
      <c r="E96" s="1470"/>
      <c r="F96" s="1471"/>
      <c r="G96" s="1472"/>
    </row>
    <row r="97" spans="1:7">
      <c r="A97" s="1468"/>
      <c r="B97" s="1753"/>
      <c r="C97" s="1754"/>
      <c r="D97" s="1469"/>
      <c r="E97" s="1470"/>
      <c r="F97" s="1471"/>
      <c r="G97" s="1472"/>
    </row>
    <row r="98" spans="1:7">
      <c r="A98" s="1468"/>
      <c r="B98" s="1753"/>
      <c r="C98" s="1754"/>
      <c r="D98" s="1469"/>
      <c r="E98" s="1470"/>
      <c r="F98" s="1471"/>
      <c r="G98" s="1472"/>
    </row>
    <row r="99" spans="1:7">
      <c r="A99" s="1468"/>
      <c r="B99" s="1753"/>
      <c r="C99" s="1754"/>
      <c r="D99" s="1469"/>
      <c r="E99" s="1470"/>
      <c r="F99" s="1471"/>
      <c r="G99" s="1472"/>
    </row>
    <row r="100" spans="1:7">
      <c r="A100" s="1468"/>
      <c r="B100" s="1753"/>
      <c r="C100" s="1754"/>
      <c r="D100" s="1469"/>
      <c r="E100" s="1470"/>
      <c r="F100" s="1471"/>
      <c r="G100" s="1472"/>
    </row>
    <row r="101" spans="1:7">
      <c r="A101" s="1468"/>
      <c r="B101" s="1753"/>
      <c r="C101" s="1754"/>
      <c r="D101" s="1469"/>
      <c r="E101" s="1470"/>
      <c r="F101" s="1471"/>
      <c r="G101" s="1472"/>
    </row>
    <row r="102" spans="1:7">
      <c r="A102" s="1468"/>
      <c r="B102" s="1753"/>
      <c r="C102" s="1754"/>
      <c r="D102" s="1469"/>
      <c r="E102" s="1470"/>
      <c r="F102" s="1471"/>
      <c r="G102" s="1472"/>
    </row>
    <row r="103" spans="1:7">
      <c r="A103" s="1468"/>
      <c r="B103" s="1753"/>
      <c r="C103" s="1754"/>
      <c r="D103" s="1469"/>
      <c r="E103" s="1470"/>
      <c r="F103" s="1471"/>
      <c r="G103" s="1472"/>
    </row>
    <row r="104" spans="1:7">
      <c r="A104" s="1468"/>
      <c r="B104" s="1753"/>
      <c r="C104" s="1754"/>
      <c r="D104" s="1469"/>
      <c r="E104" s="1470"/>
      <c r="F104" s="1471"/>
      <c r="G104" s="1472"/>
    </row>
    <row r="105" spans="1:7">
      <c r="A105" s="1468"/>
      <c r="B105" s="1753"/>
      <c r="C105" s="1754"/>
      <c r="D105" s="1469"/>
      <c r="E105" s="1470"/>
      <c r="F105" s="1471"/>
      <c r="G105" s="1472"/>
    </row>
    <row r="106" spans="1:7">
      <c r="A106" s="1468"/>
      <c r="B106" s="1753"/>
      <c r="C106" s="1754"/>
      <c r="D106" s="1469"/>
      <c r="E106" s="1470"/>
      <c r="F106" s="1471"/>
      <c r="G106" s="1472"/>
    </row>
    <row r="107" spans="1:7">
      <c r="A107" s="1468"/>
      <c r="B107" s="1753"/>
      <c r="C107" s="1754"/>
      <c r="D107" s="1469"/>
      <c r="E107" s="1470"/>
      <c r="F107" s="1471"/>
      <c r="G107" s="1472"/>
    </row>
    <row r="108" spans="1:7">
      <c r="A108" s="1468"/>
      <c r="B108" s="1753"/>
      <c r="C108" s="1754"/>
      <c r="D108" s="1469"/>
      <c r="E108" s="1470"/>
      <c r="F108" s="1471"/>
      <c r="G108" s="1472"/>
    </row>
    <row r="109" spans="1:7">
      <c r="A109" s="1468"/>
      <c r="B109" s="1753"/>
      <c r="C109" s="1754"/>
      <c r="D109" s="1469"/>
      <c r="E109" s="1470"/>
      <c r="F109" s="1471"/>
      <c r="G109" s="1472"/>
    </row>
    <row r="110" spans="1:7">
      <c r="A110" s="1468"/>
      <c r="B110" s="1753"/>
      <c r="C110" s="1754"/>
      <c r="D110" s="1469"/>
      <c r="E110" s="1470"/>
      <c r="F110" s="1471"/>
      <c r="G110" s="1472"/>
    </row>
    <row r="111" spans="1:7">
      <c r="A111" s="1468"/>
      <c r="B111" s="1753"/>
      <c r="C111" s="1754"/>
      <c r="D111" s="1469"/>
      <c r="E111" s="1470"/>
      <c r="F111" s="1471"/>
      <c r="G111" s="1472"/>
    </row>
    <row r="112" spans="1:7">
      <c r="A112" s="1468"/>
      <c r="B112" s="1753"/>
      <c r="C112" s="1754"/>
      <c r="D112" s="1469"/>
      <c r="E112" s="1470"/>
      <c r="F112" s="1471"/>
      <c r="G112" s="1472"/>
    </row>
    <row r="113" spans="1:7">
      <c r="A113" s="1468"/>
      <c r="B113" s="1753"/>
      <c r="C113" s="1754"/>
      <c r="D113" s="1469"/>
      <c r="E113" s="1470"/>
      <c r="F113" s="1471"/>
      <c r="G113" s="1472"/>
    </row>
    <row r="114" spans="1:7">
      <c r="A114" s="1468"/>
      <c r="B114" s="1753"/>
      <c r="C114" s="1754"/>
      <c r="D114" s="1469"/>
      <c r="E114" s="1470"/>
      <c r="F114" s="1471"/>
      <c r="G114" s="1472"/>
    </row>
    <row r="115" spans="1:7">
      <c r="A115" s="1468"/>
      <c r="B115" s="1753"/>
      <c r="C115" s="1754"/>
      <c r="D115" s="1469"/>
      <c r="E115" s="1470"/>
      <c r="F115" s="1471"/>
      <c r="G115" s="1472"/>
    </row>
    <row r="116" spans="1:7">
      <c r="A116" s="1468"/>
      <c r="B116" s="1753"/>
      <c r="C116" s="1754"/>
      <c r="D116" s="1469"/>
      <c r="E116" s="1470"/>
      <c r="F116" s="1471"/>
      <c r="G116" s="1472"/>
    </row>
    <row r="117" spans="1:7">
      <c r="A117" s="1468"/>
      <c r="B117" s="1753"/>
      <c r="C117" s="1754"/>
      <c r="D117" s="1469"/>
      <c r="E117" s="1470"/>
      <c r="F117" s="1471"/>
      <c r="G117" s="1472"/>
    </row>
    <row r="118" spans="1:7">
      <c r="A118" s="1468"/>
      <c r="B118" s="1753"/>
      <c r="C118" s="1754"/>
      <c r="D118" s="1469"/>
      <c r="E118" s="1470"/>
      <c r="F118" s="1471"/>
      <c r="G118" s="1472"/>
    </row>
    <row r="119" spans="1:7">
      <c r="A119" s="1468"/>
      <c r="B119" s="1753"/>
      <c r="C119" s="1754"/>
      <c r="D119" s="1469"/>
      <c r="E119" s="1470"/>
      <c r="F119" s="1471"/>
      <c r="G119" s="1472"/>
    </row>
    <row r="120" spans="1:7">
      <c r="A120" s="1468"/>
      <c r="B120" s="1753"/>
      <c r="C120" s="1754"/>
      <c r="D120" s="1469"/>
      <c r="E120" s="1470"/>
      <c r="F120" s="1471"/>
      <c r="G120" s="1472"/>
    </row>
    <row r="121" spans="1:7">
      <c r="A121" s="1468"/>
      <c r="B121" s="1753"/>
      <c r="C121" s="1754"/>
      <c r="D121" s="1469"/>
      <c r="E121" s="1470"/>
      <c r="F121" s="1471"/>
      <c r="G121" s="1472"/>
    </row>
    <row r="122" spans="1:7">
      <c r="A122" s="1468"/>
      <c r="B122" s="1753"/>
      <c r="C122" s="1754"/>
      <c r="D122" s="1469"/>
      <c r="E122" s="1470"/>
      <c r="F122" s="1471"/>
      <c r="G122" s="1472"/>
    </row>
    <row r="123" spans="1:7">
      <c r="A123" s="1468"/>
      <c r="B123" s="1753"/>
      <c r="C123" s="1754"/>
      <c r="D123" s="1469"/>
      <c r="E123" s="1470"/>
      <c r="F123" s="1471"/>
      <c r="G123" s="1472"/>
    </row>
    <row r="124" spans="1:7">
      <c r="A124" s="1468"/>
      <c r="B124" s="1753"/>
      <c r="C124" s="1754"/>
      <c r="D124" s="1469"/>
      <c r="E124" s="1470"/>
      <c r="F124" s="1471"/>
      <c r="G124" s="1472"/>
    </row>
    <row r="125" spans="1:7">
      <c r="A125" s="1468"/>
      <c r="B125" s="1753"/>
      <c r="C125" s="1754"/>
      <c r="D125" s="1469"/>
      <c r="E125" s="1470"/>
      <c r="F125" s="1471"/>
      <c r="G125" s="1472"/>
    </row>
    <row r="126" spans="1:7">
      <c r="A126" s="1468"/>
      <c r="B126" s="1753"/>
      <c r="C126" s="1754"/>
      <c r="D126" s="1469"/>
      <c r="E126" s="1470"/>
      <c r="F126" s="1471"/>
      <c r="G126" s="1472"/>
    </row>
    <row r="127" spans="1:7">
      <c r="A127" s="1468"/>
      <c r="B127" s="1753"/>
      <c r="C127" s="1754"/>
      <c r="D127" s="1469"/>
      <c r="E127" s="1470"/>
      <c r="F127" s="1471"/>
      <c r="G127" s="1472"/>
    </row>
    <row r="128" spans="1:7">
      <c r="A128" s="1468"/>
      <c r="B128" s="1753"/>
      <c r="C128" s="1754"/>
      <c r="D128" s="1469"/>
      <c r="E128" s="1470"/>
      <c r="F128" s="1471"/>
      <c r="G128" s="1472"/>
    </row>
    <row r="129" spans="1:7">
      <c r="A129" s="1468"/>
      <c r="B129" s="1753"/>
      <c r="C129" s="1754"/>
      <c r="D129" s="1469"/>
      <c r="E129" s="1470"/>
      <c r="F129" s="1471"/>
      <c r="G129" s="1472"/>
    </row>
    <row r="130" spans="1:7">
      <c r="A130" s="1468"/>
      <c r="B130" s="1753"/>
      <c r="C130" s="1754"/>
      <c r="D130" s="1469"/>
      <c r="E130" s="1470"/>
      <c r="F130" s="1471"/>
      <c r="G130" s="1472"/>
    </row>
    <row r="131" spans="1:7">
      <c r="A131" s="1468"/>
      <c r="B131" s="1753"/>
      <c r="C131" s="1754"/>
      <c r="D131" s="1469"/>
      <c r="E131" s="1470"/>
      <c r="F131" s="1471"/>
      <c r="G131" s="1472"/>
    </row>
    <row r="132" spans="1:7">
      <c r="A132" s="1468"/>
      <c r="B132" s="1753"/>
      <c r="C132" s="1754"/>
      <c r="D132" s="1469"/>
      <c r="E132" s="1470"/>
      <c r="F132" s="1471"/>
      <c r="G132" s="1472"/>
    </row>
    <row r="133" spans="1:7">
      <c r="A133" s="1468"/>
      <c r="B133" s="1753"/>
      <c r="C133" s="1754"/>
      <c r="D133" s="1469"/>
      <c r="E133" s="1470"/>
      <c r="F133" s="1471"/>
      <c r="G133" s="1472"/>
    </row>
    <row r="134" spans="1:7">
      <c r="A134" s="1468"/>
      <c r="B134" s="1753"/>
      <c r="C134" s="1754"/>
      <c r="D134" s="1469"/>
      <c r="E134" s="1470"/>
      <c r="F134" s="1471"/>
      <c r="G134" s="1472"/>
    </row>
    <row r="135" spans="1:7">
      <c r="A135" s="1468"/>
      <c r="B135" s="1753"/>
      <c r="C135" s="1754"/>
      <c r="D135" s="1469"/>
      <c r="E135" s="1470"/>
      <c r="F135" s="1471"/>
      <c r="G135" s="1472"/>
    </row>
    <row r="136" spans="1:7">
      <c r="A136" s="1468"/>
      <c r="B136" s="1753"/>
      <c r="C136" s="1754"/>
      <c r="D136" s="1469"/>
      <c r="E136" s="1470"/>
      <c r="F136" s="1471"/>
      <c r="G136" s="1472"/>
    </row>
    <row r="137" spans="1:7">
      <c r="A137" s="1468"/>
      <c r="B137" s="1753"/>
      <c r="C137" s="1754"/>
      <c r="D137" s="1469"/>
      <c r="E137" s="1470"/>
      <c r="F137" s="1471"/>
      <c r="G137" s="1472"/>
    </row>
    <row r="138" spans="1:7">
      <c r="A138" s="1468"/>
      <c r="B138" s="1753"/>
      <c r="C138" s="1754"/>
      <c r="D138" s="1469"/>
      <c r="E138" s="1470"/>
      <c r="F138" s="1471"/>
      <c r="G138" s="1472"/>
    </row>
    <row r="139" spans="1:7">
      <c r="A139" s="1468"/>
      <c r="B139" s="1753"/>
      <c r="C139" s="1754"/>
      <c r="D139" s="1469"/>
      <c r="E139" s="1470"/>
      <c r="F139" s="1471"/>
      <c r="G139" s="1472"/>
    </row>
    <row r="140" spans="1:7">
      <c r="A140" s="1468"/>
      <c r="B140" s="1753"/>
      <c r="C140" s="1754"/>
      <c r="D140" s="1469"/>
      <c r="E140" s="1470"/>
      <c r="F140" s="1471"/>
      <c r="G140" s="1472"/>
    </row>
    <row r="141" spans="1:7">
      <c r="A141" s="1468"/>
      <c r="B141" s="1753"/>
      <c r="C141" s="1754"/>
      <c r="D141" s="1469"/>
      <c r="E141" s="1470"/>
      <c r="F141" s="1471"/>
      <c r="G141" s="1472"/>
    </row>
    <row r="142" spans="1:7">
      <c r="A142" s="1468"/>
      <c r="B142" s="1753"/>
      <c r="C142" s="1754"/>
      <c r="D142" s="1469"/>
      <c r="E142" s="1470"/>
      <c r="F142" s="1471"/>
      <c r="G142" s="1472"/>
    </row>
    <row r="143" spans="1:7">
      <c r="A143" s="1468"/>
      <c r="B143" s="1753"/>
      <c r="C143" s="1754"/>
      <c r="D143" s="1469"/>
      <c r="E143" s="1470"/>
      <c r="F143" s="1471"/>
      <c r="G143" s="1472"/>
    </row>
    <row r="144" spans="1:7">
      <c r="A144" s="1468"/>
      <c r="B144" s="1753"/>
      <c r="C144" s="1754"/>
      <c r="D144" s="1469"/>
      <c r="E144" s="1470"/>
      <c r="F144" s="1471"/>
      <c r="G144" s="1472"/>
    </row>
    <row r="145" spans="1:7">
      <c r="A145" s="1468"/>
      <c r="B145" s="1753"/>
      <c r="C145" s="1754"/>
      <c r="D145" s="1469"/>
      <c r="E145" s="1470"/>
      <c r="F145" s="1471"/>
      <c r="G145" s="1472"/>
    </row>
    <row r="146" spans="1:7">
      <c r="A146" s="1468"/>
      <c r="B146" s="1753"/>
      <c r="C146" s="1754"/>
      <c r="D146" s="1469"/>
      <c r="E146" s="1470"/>
      <c r="F146" s="1471"/>
      <c r="G146" s="1472"/>
    </row>
    <row r="147" spans="1:7">
      <c r="A147" s="1468"/>
      <c r="B147" s="1753"/>
      <c r="C147" s="1754"/>
      <c r="D147" s="1469"/>
      <c r="E147" s="1470"/>
      <c r="F147" s="1471"/>
      <c r="G147" s="1472"/>
    </row>
    <row r="148" spans="1:7">
      <c r="A148" s="1468"/>
      <c r="B148" s="1753"/>
      <c r="C148" s="1754"/>
      <c r="D148" s="1469"/>
      <c r="E148" s="1470"/>
      <c r="F148" s="1471"/>
      <c r="G148" s="1472"/>
    </row>
    <row r="149" spans="1:7">
      <c r="A149" s="1468"/>
      <c r="B149" s="1753"/>
      <c r="C149" s="1754"/>
      <c r="D149" s="1469"/>
      <c r="E149" s="1470"/>
      <c r="F149" s="1471"/>
      <c r="G149" s="1472"/>
    </row>
    <row r="150" spans="1:7">
      <c r="A150" s="1468"/>
      <c r="B150" s="1753"/>
      <c r="C150" s="1754"/>
      <c r="D150" s="1469"/>
      <c r="E150" s="1470"/>
      <c r="F150" s="1471"/>
      <c r="G150" s="1472"/>
    </row>
    <row r="151" spans="1:7">
      <c r="A151" s="1468"/>
      <c r="B151" s="1753"/>
      <c r="C151" s="1754"/>
      <c r="D151" s="1469"/>
      <c r="E151" s="1470"/>
      <c r="F151" s="1471"/>
      <c r="G151" s="1472"/>
    </row>
    <row r="152" spans="1:7">
      <c r="A152" s="1468"/>
      <c r="B152" s="1753"/>
      <c r="C152" s="1754"/>
      <c r="D152" s="1469"/>
      <c r="E152" s="1470"/>
      <c r="F152" s="1471"/>
      <c r="G152" s="1472"/>
    </row>
    <row r="153" spans="1:7">
      <c r="A153" s="1468"/>
      <c r="B153" s="1753"/>
      <c r="C153" s="1754"/>
      <c r="D153" s="1469"/>
      <c r="E153" s="1470"/>
      <c r="F153" s="1471"/>
      <c r="G153" s="1472"/>
    </row>
    <row r="154" spans="1:7">
      <c r="A154" s="1468"/>
      <c r="B154" s="1753"/>
      <c r="C154" s="1754"/>
      <c r="D154" s="1469"/>
      <c r="E154" s="1470"/>
      <c r="F154" s="1471"/>
      <c r="G154" s="1472"/>
    </row>
    <row r="155" spans="1:7">
      <c r="A155" s="1468"/>
      <c r="B155" s="1753"/>
      <c r="C155" s="1754"/>
      <c r="D155" s="1469"/>
      <c r="E155" s="1470"/>
      <c r="F155" s="1471"/>
      <c r="G155" s="1472"/>
    </row>
    <row r="156" spans="1:7">
      <c r="A156" s="1468"/>
      <c r="B156" s="1753"/>
      <c r="C156" s="1754"/>
      <c r="D156" s="1469"/>
      <c r="E156" s="1470"/>
      <c r="F156" s="1471"/>
      <c r="G156" s="1472"/>
    </row>
    <row r="157" spans="1:7">
      <c r="A157" s="1468"/>
      <c r="B157" s="1753"/>
      <c r="C157" s="1754"/>
      <c r="D157" s="1469"/>
      <c r="E157" s="1470"/>
      <c r="F157" s="1471"/>
      <c r="G157" s="1472"/>
    </row>
    <row r="158" spans="1:7">
      <c r="A158" s="1468"/>
      <c r="B158" s="1753"/>
      <c r="C158" s="1754"/>
      <c r="D158" s="1469"/>
      <c r="E158" s="1470"/>
      <c r="F158" s="1471"/>
      <c r="G158" s="1472"/>
    </row>
    <row r="159" spans="1:7">
      <c r="A159" s="1468"/>
      <c r="B159" s="1753"/>
      <c r="C159" s="1754"/>
      <c r="D159" s="1469"/>
      <c r="E159" s="1470"/>
      <c r="F159" s="1471"/>
      <c r="G159" s="1472"/>
    </row>
    <row r="160" spans="1:7">
      <c r="A160" s="1468"/>
      <c r="B160" s="1753"/>
      <c r="C160" s="1754"/>
      <c r="D160" s="1469"/>
      <c r="E160" s="1470"/>
      <c r="F160" s="1471"/>
      <c r="G160" s="1472"/>
    </row>
    <row r="161" spans="1:7">
      <c r="A161" s="1468"/>
      <c r="B161" s="1753"/>
      <c r="C161" s="1754"/>
      <c r="D161" s="1469"/>
      <c r="E161" s="1470"/>
      <c r="F161" s="1471"/>
      <c r="G161" s="1472"/>
    </row>
    <row r="162" spans="1:7">
      <c r="A162" s="1468"/>
      <c r="B162" s="1753"/>
      <c r="C162" s="1754"/>
      <c r="D162" s="1469"/>
      <c r="E162" s="1470"/>
      <c r="F162" s="1471"/>
      <c r="G162" s="1472"/>
    </row>
    <row r="163" spans="1:7">
      <c r="A163" s="1468"/>
      <c r="B163" s="1753"/>
      <c r="C163" s="1754"/>
      <c r="D163" s="1469"/>
      <c r="E163" s="1470"/>
      <c r="F163" s="1471"/>
      <c r="G163" s="1472"/>
    </row>
    <row r="164" spans="1:7">
      <c r="A164" s="1468"/>
      <c r="B164" s="1753"/>
      <c r="C164" s="1754"/>
      <c r="D164" s="1469"/>
      <c r="E164" s="1470"/>
      <c r="F164" s="1471"/>
      <c r="G164" s="1472"/>
    </row>
    <row r="165" spans="1:7">
      <c r="A165" s="1468"/>
      <c r="B165" s="1753"/>
      <c r="C165" s="1754"/>
      <c r="D165" s="1469"/>
      <c r="E165" s="1470"/>
      <c r="F165" s="1471"/>
      <c r="G165" s="1472"/>
    </row>
    <row r="166" spans="1:7">
      <c r="A166" s="1468"/>
      <c r="B166" s="1753"/>
      <c r="C166" s="1754"/>
      <c r="D166" s="1469"/>
      <c r="E166" s="1470"/>
      <c r="F166" s="1471"/>
      <c r="G166" s="1472"/>
    </row>
    <row r="167" spans="1:7">
      <c r="A167" s="1468"/>
      <c r="B167" s="1753"/>
      <c r="C167" s="1754"/>
      <c r="D167" s="1469"/>
      <c r="E167" s="1470"/>
      <c r="F167" s="1471"/>
      <c r="G167" s="1472"/>
    </row>
    <row r="168" spans="1:7">
      <c r="A168" s="1468"/>
      <c r="B168" s="1753"/>
      <c r="C168" s="1754"/>
      <c r="D168" s="1469"/>
      <c r="E168" s="1470"/>
      <c r="F168" s="1471"/>
      <c r="G168" s="1472"/>
    </row>
    <row r="169" spans="1:7">
      <c r="A169" s="1468"/>
      <c r="B169" s="1753"/>
      <c r="C169" s="1754"/>
      <c r="D169" s="1469"/>
      <c r="E169" s="1470"/>
      <c r="F169" s="1471"/>
      <c r="G169" s="1472"/>
    </row>
    <row r="170" spans="1:7">
      <c r="A170" s="1468"/>
      <c r="B170" s="1753"/>
      <c r="C170" s="1754"/>
      <c r="D170" s="1469"/>
      <c r="E170" s="1470"/>
      <c r="F170" s="1471"/>
      <c r="G170" s="1472"/>
    </row>
    <row r="171" spans="1:7">
      <c r="A171" s="1468"/>
      <c r="B171" s="1753"/>
      <c r="C171" s="1754"/>
      <c r="D171" s="1469"/>
      <c r="E171" s="1470"/>
      <c r="F171" s="1471"/>
      <c r="G171" s="1472"/>
    </row>
    <row r="172" spans="1:7">
      <c r="A172" s="1468"/>
      <c r="B172" s="1753"/>
      <c r="C172" s="1754"/>
      <c r="D172" s="1469"/>
      <c r="E172" s="1470"/>
      <c r="F172" s="1471"/>
      <c r="G172" s="1472"/>
    </row>
    <row r="173" spans="1:7">
      <c r="A173" s="1468"/>
      <c r="B173" s="1753"/>
      <c r="C173" s="1754"/>
      <c r="D173" s="1469"/>
      <c r="E173" s="1470"/>
      <c r="F173" s="1471"/>
      <c r="G173" s="1472"/>
    </row>
    <row r="174" spans="1:7">
      <c r="A174" s="1468"/>
      <c r="B174" s="1753"/>
      <c r="C174" s="1754"/>
      <c r="D174" s="1469"/>
      <c r="E174" s="1470"/>
      <c r="F174" s="1471"/>
      <c r="G174" s="1472"/>
    </row>
    <row r="175" spans="1:7">
      <c r="A175" s="1468"/>
      <c r="B175" s="1753"/>
      <c r="C175" s="1754"/>
      <c r="D175" s="1469"/>
      <c r="E175" s="1470"/>
      <c r="F175" s="1471"/>
      <c r="G175" s="1472"/>
    </row>
    <row r="176" spans="1:7">
      <c r="A176" s="1468"/>
      <c r="B176" s="1753"/>
      <c r="C176" s="1754"/>
      <c r="D176" s="1469"/>
      <c r="E176" s="1470"/>
      <c r="F176" s="1471"/>
      <c r="G176" s="1472"/>
    </row>
    <row r="177" spans="1:7">
      <c r="A177" s="1468"/>
      <c r="B177" s="1753"/>
      <c r="C177" s="1754"/>
      <c r="D177" s="1469"/>
      <c r="E177" s="1470"/>
      <c r="F177" s="1471"/>
      <c r="G177" s="1472"/>
    </row>
    <row r="178" spans="1:7">
      <c r="A178" s="1468"/>
      <c r="B178" s="1753"/>
      <c r="C178" s="1754"/>
      <c r="D178" s="1469"/>
      <c r="E178" s="1470"/>
      <c r="F178" s="1471"/>
      <c r="G178" s="1472"/>
    </row>
    <row r="179" spans="1:7">
      <c r="A179" s="1468"/>
      <c r="B179" s="1753"/>
      <c r="C179" s="1754"/>
      <c r="D179" s="1469"/>
      <c r="E179" s="1470"/>
      <c r="F179" s="1471"/>
      <c r="G179" s="1472"/>
    </row>
    <row r="180" spans="1:7">
      <c r="A180" s="1468"/>
      <c r="B180" s="1753"/>
      <c r="C180" s="1754"/>
      <c r="D180" s="1469"/>
      <c r="E180" s="1470"/>
      <c r="F180" s="1471"/>
      <c r="G180" s="1472"/>
    </row>
    <row r="181" spans="1:7">
      <c r="A181" s="1468"/>
      <c r="B181" s="1753"/>
      <c r="C181" s="1754"/>
      <c r="D181" s="1469"/>
      <c r="E181" s="1470"/>
      <c r="F181" s="1471"/>
      <c r="G181" s="1472"/>
    </row>
    <row r="182" spans="1:7">
      <c r="A182" s="1468"/>
      <c r="B182" s="1753"/>
      <c r="C182" s="1754"/>
      <c r="D182" s="1469"/>
      <c r="E182" s="1470"/>
      <c r="F182" s="1471"/>
      <c r="G182" s="1472"/>
    </row>
    <row r="183" spans="1:7">
      <c r="A183" s="1468"/>
      <c r="B183" s="1753"/>
      <c r="C183" s="1754"/>
      <c r="D183" s="1469"/>
      <c r="E183" s="1470"/>
      <c r="F183" s="1471"/>
      <c r="G183" s="1472"/>
    </row>
    <row r="184" spans="1:7">
      <c r="A184" s="1468"/>
      <c r="B184" s="1753"/>
      <c r="C184" s="1754"/>
      <c r="D184" s="1469"/>
      <c r="E184" s="1470"/>
      <c r="F184" s="1471"/>
      <c r="G184" s="1472"/>
    </row>
    <row r="185" spans="1:7">
      <c r="A185" s="1468"/>
      <c r="B185" s="1753"/>
      <c r="C185" s="1754"/>
      <c r="D185" s="1469"/>
      <c r="E185" s="1470"/>
      <c r="F185" s="1471"/>
      <c r="G185" s="1472"/>
    </row>
    <row r="186" spans="1:7">
      <c r="A186" s="1468"/>
      <c r="B186" s="1753"/>
      <c r="C186" s="1754"/>
      <c r="D186" s="1469"/>
      <c r="E186" s="1470"/>
      <c r="F186" s="1471"/>
      <c r="G186" s="1472"/>
    </row>
    <row r="187" spans="1:7">
      <c r="A187" s="1468"/>
      <c r="B187" s="1753"/>
      <c r="C187" s="1754"/>
      <c r="D187" s="1469"/>
      <c r="E187" s="1470"/>
      <c r="F187" s="1471"/>
      <c r="G187" s="1472"/>
    </row>
    <row r="188" spans="1:7">
      <c r="A188" s="1468"/>
      <c r="B188" s="1753"/>
      <c r="C188" s="1754"/>
      <c r="D188" s="1469"/>
      <c r="E188" s="1470"/>
      <c r="F188" s="1471"/>
      <c r="G188" s="1472"/>
    </row>
    <row r="189" spans="1:7">
      <c r="A189" s="1468"/>
      <c r="B189" s="1753"/>
      <c r="C189" s="1754"/>
      <c r="D189" s="1469"/>
      <c r="E189" s="1470"/>
      <c r="F189" s="1471"/>
      <c r="G189" s="1472"/>
    </row>
    <row r="190" spans="1:7">
      <c r="A190" s="1468"/>
      <c r="B190" s="1753"/>
      <c r="C190" s="1754"/>
      <c r="D190" s="1469"/>
      <c r="E190" s="1470"/>
      <c r="F190" s="1471"/>
      <c r="G190" s="1472"/>
    </row>
    <row r="191" spans="1:7">
      <c r="A191" s="1468"/>
      <c r="B191" s="1753"/>
      <c r="C191" s="1754"/>
      <c r="D191" s="1469"/>
      <c r="E191" s="1470"/>
      <c r="F191" s="1471"/>
      <c r="G191" s="1472"/>
    </row>
    <row r="192" spans="1:7">
      <c r="A192" s="1468"/>
      <c r="B192" s="1753"/>
      <c r="C192" s="1754"/>
      <c r="D192" s="1469"/>
      <c r="E192" s="1470"/>
      <c r="F192" s="1471"/>
      <c r="G192" s="1472"/>
    </row>
    <row r="193" spans="1:7">
      <c r="A193" s="1468"/>
      <c r="B193" s="1753"/>
      <c r="C193" s="1754"/>
      <c r="D193" s="1469"/>
      <c r="E193" s="1470"/>
      <c r="F193" s="1471"/>
      <c r="G193" s="1472"/>
    </row>
    <row r="194" spans="1:7">
      <c r="A194" s="1468"/>
      <c r="B194" s="1753"/>
      <c r="C194" s="1754"/>
      <c r="D194" s="1469"/>
      <c r="E194" s="1470"/>
      <c r="F194" s="1471"/>
      <c r="G194" s="1472"/>
    </row>
    <row r="195" spans="1:7">
      <c r="A195" s="1468"/>
      <c r="B195" s="1753"/>
      <c r="C195" s="1754"/>
      <c r="D195" s="1469"/>
      <c r="E195" s="1470"/>
      <c r="F195" s="1471"/>
      <c r="G195" s="1472"/>
    </row>
    <row r="196" spans="1:7">
      <c r="A196" s="1468"/>
      <c r="B196" s="1753"/>
      <c r="C196" s="1754"/>
      <c r="D196" s="1469"/>
      <c r="E196" s="1470"/>
      <c r="F196" s="1471"/>
      <c r="G196" s="1472"/>
    </row>
    <row r="197" spans="1:7">
      <c r="A197" s="1468"/>
      <c r="B197" s="1753"/>
      <c r="C197" s="1754"/>
      <c r="D197" s="1469"/>
      <c r="E197" s="1470"/>
      <c r="F197" s="1471"/>
      <c r="G197" s="1472"/>
    </row>
    <row r="198" spans="1:7">
      <c r="A198" s="1468"/>
      <c r="B198" s="1753"/>
      <c r="C198" s="1754"/>
      <c r="D198" s="1469"/>
      <c r="E198" s="1470"/>
      <c r="F198" s="1471"/>
      <c r="G198" s="1472"/>
    </row>
    <row r="199" spans="1:7">
      <c r="A199" s="1468"/>
      <c r="B199" s="1753"/>
      <c r="C199" s="1754"/>
      <c r="D199" s="1469"/>
      <c r="E199" s="1470"/>
      <c r="F199" s="1471"/>
      <c r="G199" s="1472"/>
    </row>
    <row r="200" spans="1:7">
      <c r="A200" s="1468"/>
      <c r="B200" s="1753"/>
      <c r="C200" s="1754"/>
      <c r="D200" s="1469"/>
      <c r="E200" s="1470"/>
      <c r="F200" s="1471"/>
      <c r="G200" s="1472"/>
    </row>
    <row r="201" spans="1:7">
      <c r="A201" s="1468"/>
      <c r="B201" s="1753"/>
      <c r="C201" s="1754"/>
      <c r="D201" s="1469"/>
      <c r="E201" s="1470"/>
      <c r="F201" s="1471"/>
      <c r="G201" s="1472"/>
    </row>
    <row r="202" spans="1:7">
      <c r="A202" s="1468"/>
      <c r="B202" s="1753"/>
      <c r="C202" s="1754"/>
      <c r="D202" s="1469"/>
      <c r="E202" s="1470"/>
      <c r="F202" s="1471"/>
      <c r="G202" s="1472"/>
    </row>
    <row r="203" spans="1:7">
      <c r="A203" s="1468"/>
      <c r="B203" s="1753"/>
      <c r="C203" s="1754"/>
      <c r="D203" s="1469"/>
      <c r="E203" s="1470"/>
      <c r="F203" s="1471"/>
      <c r="G203" s="1472"/>
    </row>
    <row r="204" spans="1:7">
      <c r="A204" s="1468"/>
      <c r="B204" s="1753"/>
      <c r="C204" s="1754"/>
      <c r="D204" s="1469"/>
      <c r="E204" s="1470"/>
      <c r="F204" s="1471"/>
      <c r="G204" s="1472"/>
    </row>
    <row r="205" spans="1:7">
      <c r="A205" s="1468"/>
      <c r="B205" s="1753"/>
      <c r="C205" s="1754"/>
      <c r="D205" s="1469"/>
      <c r="E205" s="1470"/>
      <c r="F205" s="1471"/>
      <c r="G205" s="1472"/>
    </row>
    <row r="206" spans="1:7">
      <c r="A206" s="1468"/>
      <c r="B206" s="1753"/>
      <c r="C206" s="1754"/>
      <c r="D206" s="1469"/>
      <c r="E206" s="1470"/>
      <c r="F206" s="1471"/>
      <c r="G206" s="1472"/>
    </row>
    <row r="207" spans="1:7">
      <c r="A207" s="1468"/>
      <c r="B207" s="1753"/>
      <c r="C207" s="1754"/>
      <c r="D207" s="1469"/>
      <c r="E207" s="1470"/>
      <c r="F207" s="1471"/>
      <c r="G207" s="1472"/>
    </row>
    <row r="208" spans="1:7">
      <c r="A208" s="1468"/>
      <c r="B208" s="1753"/>
      <c r="C208" s="1754"/>
      <c r="D208" s="1469"/>
      <c r="E208" s="1470"/>
      <c r="F208" s="1471"/>
      <c r="G208" s="1472"/>
    </row>
    <row r="209" spans="1:7">
      <c r="A209" s="1468"/>
      <c r="B209" s="1753"/>
      <c r="C209" s="1754"/>
      <c r="D209" s="1469"/>
      <c r="E209" s="1470"/>
      <c r="F209" s="1471"/>
      <c r="G209" s="1472"/>
    </row>
    <row r="210" spans="1:7">
      <c r="A210" s="1468"/>
      <c r="B210" s="1753"/>
      <c r="C210" s="1754"/>
      <c r="D210" s="1469"/>
      <c r="E210" s="1470"/>
      <c r="F210" s="1471"/>
      <c r="G210" s="1472"/>
    </row>
    <row r="211" spans="1:7">
      <c r="A211" s="1468"/>
      <c r="B211" s="1753"/>
      <c r="C211" s="1754"/>
      <c r="D211" s="1469"/>
      <c r="E211" s="1470"/>
      <c r="F211" s="1471"/>
      <c r="G211" s="1472"/>
    </row>
    <row r="212" spans="1:7">
      <c r="A212" s="1468"/>
      <c r="B212" s="1753"/>
      <c r="C212" s="1754"/>
      <c r="D212" s="1469"/>
      <c r="E212" s="1470"/>
      <c r="F212" s="1471"/>
      <c r="G212" s="1472"/>
    </row>
    <row r="213" spans="1:7">
      <c r="A213" s="1468"/>
      <c r="B213" s="1753"/>
      <c r="C213" s="1754"/>
      <c r="D213" s="1469"/>
      <c r="E213" s="1470"/>
      <c r="F213" s="1471"/>
      <c r="G213" s="1472"/>
    </row>
    <row r="214" spans="1:7">
      <c r="A214" s="1468"/>
      <c r="B214" s="1753"/>
      <c r="C214" s="1754"/>
      <c r="D214" s="1469"/>
      <c r="E214" s="1470"/>
      <c r="F214" s="1471"/>
      <c r="G214" s="1472"/>
    </row>
    <row r="215" spans="1:7">
      <c r="A215" s="1468"/>
      <c r="B215" s="1753"/>
      <c r="C215" s="1754"/>
      <c r="D215" s="1469"/>
      <c r="E215" s="1470"/>
      <c r="F215" s="1471"/>
      <c r="G215" s="1472"/>
    </row>
    <row r="216" spans="1:7">
      <c r="A216" s="1468"/>
      <c r="B216" s="1753"/>
      <c r="C216" s="1754"/>
      <c r="D216" s="1469"/>
      <c r="E216" s="1470"/>
      <c r="F216" s="1471"/>
      <c r="G216" s="1472"/>
    </row>
    <row r="217" spans="1:7">
      <c r="A217" s="1468"/>
      <c r="B217" s="1753"/>
      <c r="C217" s="1754"/>
      <c r="D217" s="1469"/>
      <c r="E217" s="1470"/>
      <c r="F217" s="1471"/>
      <c r="G217" s="1472"/>
    </row>
    <row r="218" spans="1:7">
      <c r="A218" s="1468"/>
      <c r="B218" s="1753"/>
      <c r="C218" s="1754"/>
      <c r="D218" s="1469"/>
      <c r="E218" s="1470"/>
      <c r="F218" s="1471"/>
      <c r="G218" s="1472"/>
    </row>
    <row r="219" spans="1:7">
      <c r="A219" s="1468"/>
      <c r="B219" s="1753"/>
      <c r="C219" s="1754"/>
      <c r="D219" s="1469"/>
      <c r="E219" s="1470"/>
      <c r="F219" s="1471"/>
      <c r="G219" s="1472"/>
    </row>
    <row r="220" spans="1:7">
      <c r="A220" s="1468"/>
      <c r="B220" s="1753"/>
      <c r="C220" s="1754"/>
      <c r="D220" s="1469"/>
      <c r="E220" s="1470"/>
      <c r="F220" s="1471"/>
      <c r="G220" s="1472"/>
    </row>
    <row r="221" spans="1:7">
      <c r="A221" s="1468"/>
      <c r="B221" s="1753"/>
      <c r="C221" s="1754"/>
      <c r="D221" s="1469"/>
      <c r="E221" s="1470"/>
      <c r="F221" s="1471"/>
      <c r="G221" s="1472"/>
    </row>
    <row r="222" spans="1:7">
      <c r="A222" s="1468"/>
      <c r="B222" s="1753"/>
      <c r="C222" s="1754"/>
      <c r="D222" s="1469"/>
      <c r="E222" s="1470"/>
      <c r="F222" s="1471"/>
      <c r="G222" s="1472"/>
    </row>
    <row r="223" spans="1:7">
      <c r="A223" s="1468"/>
      <c r="B223" s="1753"/>
      <c r="C223" s="1754"/>
      <c r="D223" s="1469"/>
      <c r="E223" s="1470"/>
      <c r="F223" s="1471"/>
      <c r="G223" s="1472"/>
    </row>
    <row r="224" spans="1:7">
      <c r="A224" s="1468"/>
      <c r="B224" s="1753"/>
      <c r="C224" s="1754"/>
      <c r="D224" s="1469"/>
      <c r="E224" s="1470"/>
      <c r="F224" s="1471"/>
      <c r="G224" s="1472"/>
    </row>
    <row r="225" spans="1:7">
      <c r="A225" s="1468"/>
      <c r="B225" s="1753"/>
      <c r="C225" s="1754"/>
      <c r="D225" s="1469"/>
      <c r="E225" s="1470"/>
      <c r="F225" s="1471"/>
      <c r="G225" s="1472"/>
    </row>
    <row r="226" spans="1:7">
      <c r="A226" s="1468"/>
      <c r="B226" s="1753"/>
      <c r="C226" s="1754"/>
      <c r="D226" s="1469"/>
      <c r="E226" s="1470"/>
      <c r="F226" s="1471"/>
      <c r="G226" s="1472"/>
    </row>
    <row r="227" spans="1:7">
      <c r="A227" s="1468"/>
      <c r="B227" s="1753"/>
      <c r="C227" s="1754"/>
      <c r="D227" s="1469"/>
      <c r="E227" s="1470"/>
      <c r="F227" s="1471"/>
      <c r="G227" s="1472"/>
    </row>
    <row r="228" spans="1:7">
      <c r="A228" s="1468"/>
      <c r="B228" s="1753"/>
      <c r="C228" s="1754"/>
      <c r="D228" s="1469"/>
      <c r="E228" s="1470"/>
      <c r="F228" s="1471"/>
      <c r="G228" s="1472"/>
    </row>
    <row r="229" spans="1:7">
      <c r="A229" s="1468"/>
      <c r="B229" s="1753"/>
      <c r="C229" s="1754"/>
      <c r="D229" s="1469"/>
      <c r="E229" s="1470"/>
      <c r="F229" s="1471"/>
      <c r="G229" s="1472"/>
    </row>
    <row r="230" spans="1:7">
      <c r="A230" s="1468"/>
      <c r="B230" s="1753"/>
      <c r="C230" s="1754"/>
      <c r="D230" s="1469"/>
      <c r="E230" s="1470"/>
      <c r="F230" s="1471"/>
      <c r="G230" s="1472"/>
    </row>
    <row r="231" spans="1:7">
      <c r="A231" s="1468"/>
      <c r="B231" s="1753"/>
      <c r="C231" s="1754"/>
      <c r="D231" s="1469"/>
      <c r="E231" s="1470"/>
      <c r="F231" s="1471"/>
      <c r="G231" s="1472"/>
    </row>
    <row r="232" spans="1:7">
      <c r="A232" s="1468"/>
      <c r="B232" s="1753"/>
      <c r="C232" s="1754"/>
      <c r="D232" s="1469"/>
      <c r="E232" s="1470"/>
      <c r="F232" s="1471"/>
      <c r="G232" s="1472"/>
    </row>
    <row r="233" spans="1:7">
      <c r="A233" s="1468"/>
      <c r="B233" s="1753"/>
      <c r="C233" s="1754"/>
      <c r="D233" s="1469"/>
      <c r="E233" s="1470"/>
      <c r="F233" s="1471"/>
      <c r="G233" s="1472"/>
    </row>
    <row r="234" spans="1:7">
      <c r="A234" s="1468"/>
      <c r="B234" s="1753"/>
      <c r="C234" s="1754"/>
      <c r="D234" s="1469"/>
      <c r="E234" s="1470"/>
      <c r="F234" s="1471"/>
      <c r="G234" s="1472"/>
    </row>
    <row r="235" spans="1:7">
      <c r="A235" s="1468"/>
      <c r="B235" s="1753"/>
      <c r="C235" s="1754"/>
      <c r="D235" s="1469"/>
      <c r="E235" s="1470"/>
      <c r="F235" s="1471"/>
      <c r="G235" s="1472"/>
    </row>
    <row r="236" spans="1:7">
      <c r="A236" s="1468"/>
      <c r="B236" s="1753"/>
      <c r="C236" s="1754"/>
      <c r="D236" s="1469"/>
      <c r="E236" s="1470"/>
      <c r="F236" s="1471"/>
      <c r="G236" s="1472"/>
    </row>
    <row r="237" spans="1:7">
      <c r="A237" s="1468"/>
      <c r="B237" s="1753"/>
      <c r="C237" s="1754"/>
      <c r="D237" s="1469"/>
      <c r="E237" s="1470"/>
      <c r="F237" s="1471"/>
      <c r="G237" s="1472"/>
    </row>
    <row r="238" spans="1:7">
      <c r="A238" s="1468"/>
      <c r="B238" s="1753"/>
      <c r="C238" s="1754"/>
      <c r="D238" s="1469"/>
      <c r="E238" s="1470"/>
      <c r="F238" s="1471"/>
      <c r="G238" s="1472"/>
    </row>
    <row r="239" spans="1:7">
      <c r="A239" s="1468"/>
      <c r="B239" s="1753"/>
      <c r="C239" s="1754"/>
      <c r="D239" s="1469"/>
      <c r="E239" s="1470"/>
      <c r="F239" s="1471"/>
      <c r="G239" s="1472"/>
    </row>
    <row r="240" spans="1:7">
      <c r="A240" s="1468"/>
      <c r="B240" s="1753"/>
      <c r="C240" s="1754"/>
      <c r="D240" s="1469"/>
      <c r="E240" s="1470"/>
      <c r="F240" s="1471"/>
      <c r="G240" s="1472"/>
    </row>
    <row r="241" spans="1:7">
      <c r="A241" s="1468"/>
      <c r="B241" s="1753"/>
      <c r="C241" s="1754"/>
      <c r="D241" s="1469"/>
      <c r="E241" s="1470"/>
      <c r="F241" s="1471"/>
      <c r="G241" s="1472"/>
    </row>
    <row r="242" spans="1:7">
      <c r="A242" s="1468"/>
      <c r="B242" s="1753"/>
      <c r="C242" s="1754"/>
      <c r="D242" s="1469"/>
      <c r="E242" s="1470"/>
      <c r="F242" s="1471"/>
      <c r="G242" s="1472"/>
    </row>
    <row r="243" spans="1:7">
      <c r="A243" s="1468"/>
      <c r="B243" s="1753"/>
      <c r="C243" s="1754"/>
      <c r="D243" s="1469"/>
      <c r="E243" s="1470"/>
      <c r="F243" s="1471"/>
      <c r="G243" s="1472"/>
    </row>
    <row r="244" spans="1:7">
      <c r="A244" s="1468"/>
      <c r="B244" s="1753"/>
      <c r="C244" s="1754"/>
      <c r="D244" s="1469"/>
      <c r="E244" s="1470"/>
      <c r="F244" s="1471"/>
      <c r="G244" s="1472"/>
    </row>
    <row r="245" spans="1:7">
      <c r="A245" s="1468"/>
      <c r="B245" s="1753"/>
      <c r="C245" s="1754"/>
      <c r="D245" s="1469"/>
      <c r="E245" s="1470"/>
      <c r="F245" s="1471"/>
      <c r="G245" s="1472"/>
    </row>
    <row r="246" spans="1:7">
      <c r="A246" s="1468"/>
      <c r="B246" s="1753"/>
      <c r="C246" s="1754"/>
      <c r="D246" s="1469"/>
      <c r="E246" s="1470"/>
      <c r="F246" s="1471"/>
      <c r="G246" s="1472"/>
    </row>
    <row r="247" spans="1:7">
      <c r="A247" s="1468"/>
      <c r="B247" s="1753"/>
      <c r="C247" s="1754"/>
      <c r="D247" s="1469"/>
      <c r="E247" s="1470"/>
      <c r="F247" s="1471"/>
      <c r="G247" s="1472"/>
    </row>
    <row r="248" spans="1:7">
      <c r="A248" s="1468"/>
      <c r="B248" s="1753"/>
      <c r="C248" s="1754"/>
      <c r="D248" s="1469"/>
      <c r="E248" s="1470"/>
      <c r="F248" s="1471"/>
      <c r="G248" s="1472"/>
    </row>
    <row r="249" spans="1:7">
      <c r="A249" s="1468"/>
      <c r="B249" s="1753"/>
      <c r="C249" s="1754"/>
      <c r="D249" s="1469"/>
      <c r="E249" s="1470"/>
      <c r="F249" s="1471"/>
      <c r="G249" s="1472"/>
    </row>
    <row r="250" spans="1:7">
      <c r="A250" s="1468"/>
      <c r="B250" s="1753"/>
      <c r="C250" s="1754"/>
      <c r="D250" s="1469"/>
      <c r="E250" s="1470"/>
      <c r="F250" s="1471"/>
      <c r="G250" s="1472"/>
    </row>
    <row r="251" spans="1:7">
      <c r="A251" s="1468"/>
      <c r="B251" s="1753"/>
      <c r="C251" s="1754"/>
      <c r="D251" s="1469"/>
      <c r="E251" s="1470"/>
      <c r="F251" s="1471"/>
      <c r="G251" s="1472"/>
    </row>
    <row r="252" spans="1:7">
      <c r="A252" s="1468"/>
      <c r="B252" s="1753"/>
      <c r="C252" s="1754"/>
      <c r="D252" s="1469"/>
      <c r="E252" s="1470"/>
      <c r="F252" s="1471"/>
      <c r="G252" s="1472"/>
    </row>
    <row r="253" spans="1:7">
      <c r="A253" s="1468"/>
      <c r="B253" s="1753"/>
      <c r="C253" s="1754"/>
      <c r="D253" s="1469"/>
      <c r="E253" s="1470"/>
      <c r="F253" s="1471"/>
      <c r="G253" s="1472"/>
    </row>
    <row r="254" spans="1:7">
      <c r="A254" s="1468"/>
      <c r="B254" s="1753"/>
      <c r="C254" s="1754"/>
      <c r="D254" s="1469"/>
      <c r="E254" s="1470"/>
      <c r="F254" s="1471"/>
      <c r="G254" s="1472"/>
    </row>
    <row r="255" spans="1:7">
      <c r="A255" s="1468"/>
      <c r="B255" s="1753"/>
      <c r="C255" s="1754"/>
      <c r="D255" s="1469"/>
      <c r="E255" s="1470"/>
      <c r="F255" s="1471"/>
      <c r="G255" s="1472"/>
    </row>
    <row r="256" spans="1:7">
      <c r="A256" s="1468"/>
      <c r="B256" s="1753"/>
      <c r="C256" s="1754"/>
      <c r="D256" s="1469"/>
      <c r="E256" s="1470"/>
      <c r="F256" s="1471"/>
      <c r="G256" s="1472"/>
    </row>
    <row r="257" spans="1:7">
      <c r="A257" s="1468"/>
      <c r="B257" s="1753"/>
      <c r="C257" s="1754"/>
      <c r="D257" s="1469"/>
      <c r="E257" s="1470"/>
      <c r="F257" s="1471"/>
      <c r="G257" s="1472"/>
    </row>
    <row r="258" spans="1:7">
      <c r="A258" s="1468"/>
      <c r="B258" s="1753"/>
      <c r="C258" s="1754"/>
      <c r="D258" s="1469"/>
      <c r="E258" s="1470"/>
      <c r="F258" s="1471"/>
      <c r="G258" s="1472"/>
    </row>
    <row r="259" spans="1:7">
      <c r="A259" s="1468"/>
      <c r="B259" s="1753"/>
      <c r="C259" s="1754"/>
      <c r="D259" s="1469"/>
      <c r="E259" s="1470"/>
      <c r="F259" s="1471"/>
      <c r="G259" s="1472"/>
    </row>
    <row r="260" spans="1:7">
      <c r="A260" s="1468"/>
      <c r="B260" s="1753"/>
      <c r="C260" s="1754"/>
      <c r="D260" s="1469"/>
      <c r="E260" s="1470"/>
      <c r="F260" s="1471"/>
      <c r="G260" s="1472"/>
    </row>
    <row r="261" spans="1:7">
      <c r="A261" s="1468"/>
      <c r="B261" s="1753"/>
      <c r="C261" s="1754"/>
      <c r="D261" s="1469"/>
      <c r="E261" s="1470"/>
      <c r="F261" s="1471"/>
      <c r="G261" s="1472"/>
    </row>
    <row r="262" spans="1:7">
      <c r="A262" s="1468"/>
      <c r="B262" s="1753"/>
      <c r="C262" s="1754"/>
      <c r="D262" s="1469"/>
      <c r="E262" s="1470"/>
      <c r="F262" s="1471"/>
      <c r="G262" s="1472"/>
    </row>
    <row r="263" spans="1:7">
      <c r="A263" s="1468"/>
      <c r="B263" s="1753"/>
      <c r="C263" s="1754"/>
      <c r="D263" s="1469"/>
      <c r="E263" s="1470"/>
      <c r="F263" s="1471"/>
      <c r="G263" s="1472"/>
    </row>
    <row r="264" spans="1:7">
      <c r="A264" s="1468"/>
      <c r="B264" s="1753"/>
      <c r="C264" s="1754"/>
      <c r="D264" s="1469"/>
      <c r="E264" s="1470"/>
      <c r="F264" s="1471"/>
      <c r="G264" s="1472"/>
    </row>
    <row r="265" spans="1:7">
      <c r="A265" s="1468"/>
      <c r="B265" s="1753"/>
      <c r="C265" s="1754"/>
      <c r="D265" s="1469"/>
      <c r="E265" s="1470"/>
      <c r="F265" s="1471"/>
      <c r="G265" s="1472"/>
    </row>
    <row r="266" spans="1:7">
      <c r="A266" s="1468"/>
      <c r="B266" s="1753"/>
      <c r="C266" s="1754"/>
      <c r="D266" s="1469"/>
      <c r="E266" s="1470"/>
      <c r="F266" s="1471"/>
      <c r="G266" s="1472"/>
    </row>
    <row r="267" spans="1:7">
      <c r="A267" s="1473"/>
      <c r="B267" s="1755"/>
      <c r="C267" s="1756"/>
      <c r="D267" s="1474"/>
      <c r="E267" s="1475"/>
      <c r="F267" s="1476"/>
      <c r="G267" s="1477"/>
    </row>
  </sheetData>
  <mergeCells count="263">
    <mergeCell ref="B11:C11"/>
    <mergeCell ref="B12:C12"/>
    <mergeCell ref="B13:C13"/>
    <mergeCell ref="B14:C14"/>
    <mergeCell ref="B15:C15"/>
    <mergeCell ref="B16:C16"/>
    <mergeCell ref="B5:C5"/>
    <mergeCell ref="B6:C6"/>
    <mergeCell ref="B7:C7"/>
    <mergeCell ref="B8:C8"/>
    <mergeCell ref="B9:C9"/>
    <mergeCell ref="B10:C10"/>
    <mergeCell ref="B23:C23"/>
    <mergeCell ref="B24:C24"/>
    <mergeCell ref="B25:C25"/>
    <mergeCell ref="B26:C26"/>
    <mergeCell ref="B27:C27"/>
    <mergeCell ref="B28:C28"/>
    <mergeCell ref="B17:C17"/>
    <mergeCell ref="B18:C18"/>
    <mergeCell ref="B19:C19"/>
    <mergeCell ref="B20:C20"/>
    <mergeCell ref="B21:C21"/>
    <mergeCell ref="B22:C22"/>
    <mergeCell ref="B35:C35"/>
    <mergeCell ref="B36:C36"/>
    <mergeCell ref="B37:C37"/>
    <mergeCell ref="B38:C38"/>
    <mergeCell ref="B39:C39"/>
    <mergeCell ref="B40:C40"/>
    <mergeCell ref="B29:C29"/>
    <mergeCell ref="B30:C30"/>
    <mergeCell ref="B31:C31"/>
    <mergeCell ref="B32:C32"/>
    <mergeCell ref="B33:C33"/>
    <mergeCell ref="B34:C34"/>
    <mergeCell ref="B47:C47"/>
    <mergeCell ref="B48:C48"/>
    <mergeCell ref="B49:C49"/>
    <mergeCell ref="B50:C50"/>
    <mergeCell ref="B51:C51"/>
    <mergeCell ref="B52:C52"/>
    <mergeCell ref="B41:C41"/>
    <mergeCell ref="B42:C42"/>
    <mergeCell ref="B43:C43"/>
    <mergeCell ref="B44:C44"/>
    <mergeCell ref="B45:C45"/>
    <mergeCell ref="B46:C46"/>
    <mergeCell ref="B59:C59"/>
    <mergeCell ref="B60:C60"/>
    <mergeCell ref="B61:C61"/>
    <mergeCell ref="B62:C62"/>
    <mergeCell ref="B63:C63"/>
    <mergeCell ref="B64:C64"/>
    <mergeCell ref="B53:C53"/>
    <mergeCell ref="B54:C54"/>
    <mergeCell ref="B55:C55"/>
    <mergeCell ref="B56:C56"/>
    <mergeCell ref="B57:C57"/>
    <mergeCell ref="B58:C58"/>
    <mergeCell ref="B71:C71"/>
    <mergeCell ref="B72:C72"/>
    <mergeCell ref="B73:C73"/>
    <mergeCell ref="B74:C74"/>
    <mergeCell ref="B75:C75"/>
    <mergeCell ref="B76:C76"/>
    <mergeCell ref="B65:C65"/>
    <mergeCell ref="B66:C66"/>
    <mergeCell ref="B67:C67"/>
    <mergeCell ref="B68:C68"/>
    <mergeCell ref="B69:C69"/>
    <mergeCell ref="B70:C70"/>
    <mergeCell ref="B83:C83"/>
    <mergeCell ref="B84:C84"/>
    <mergeCell ref="B85:C85"/>
    <mergeCell ref="B86:C86"/>
    <mergeCell ref="B87:C87"/>
    <mergeCell ref="B88:C88"/>
    <mergeCell ref="B77:C77"/>
    <mergeCell ref="B78:C78"/>
    <mergeCell ref="B79:C79"/>
    <mergeCell ref="B80:C80"/>
    <mergeCell ref="B81:C81"/>
    <mergeCell ref="B82:C82"/>
    <mergeCell ref="B95:C95"/>
    <mergeCell ref="B96:C96"/>
    <mergeCell ref="B97:C97"/>
    <mergeCell ref="B98:C98"/>
    <mergeCell ref="B99:C99"/>
    <mergeCell ref="B100:C100"/>
    <mergeCell ref="B89:C89"/>
    <mergeCell ref="B90:C90"/>
    <mergeCell ref="B91:C91"/>
    <mergeCell ref="B92:C92"/>
    <mergeCell ref="B93:C93"/>
    <mergeCell ref="B94:C94"/>
    <mergeCell ref="B107:C107"/>
    <mergeCell ref="B108:C108"/>
    <mergeCell ref="B109:C109"/>
    <mergeCell ref="B110:C110"/>
    <mergeCell ref="B111:C111"/>
    <mergeCell ref="B112:C112"/>
    <mergeCell ref="B101:C101"/>
    <mergeCell ref="B102:C102"/>
    <mergeCell ref="B103:C103"/>
    <mergeCell ref="B104:C104"/>
    <mergeCell ref="B105:C105"/>
    <mergeCell ref="B106:C106"/>
    <mergeCell ref="B119:C119"/>
    <mergeCell ref="B120:C120"/>
    <mergeCell ref="B121:C121"/>
    <mergeCell ref="B122:C122"/>
    <mergeCell ref="B123:C123"/>
    <mergeCell ref="B124:C124"/>
    <mergeCell ref="B113:C113"/>
    <mergeCell ref="B114:C114"/>
    <mergeCell ref="B115:C115"/>
    <mergeCell ref="B116:C116"/>
    <mergeCell ref="B117:C117"/>
    <mergeCell ref="B118:C118"/>
    <mergeCell ref="B131:C131"/>
    <mergeCell ref="B132:C132"/>
    <mergeCell ref="B133:C133"/>
    <mergeCell ref="B134:C134"/>
    <mergeCell ref="B135:C135"/>
    <mergeCell ref="B136:C136"/>
    <mergeCell ref="B125:C125"/>
    <mergeCell ref="B126:C126"/>
    <mergeCell ref="B127:C127"/>
    <mergeCell ref="B128:C128"/>
    <mergeCell ref="B129:C129"/>
    <mergeCell ref="B130:C130"/>
    <mergeCell ref="B143:C143"/>
    <mergeCell ref="B144:C144"/>
    <mergeCell ref="B145:C145"/>
    <mergeCell ref="B146:C146"/>
    <mergeCell ref="B147:C147"/>
    <mergeCell ref="B148:C148"/>
    <mergeCell ref="B137:C137"/>
    <mergeCell ref="B138:C138"/>
    <mergeCell ref="B139:C139"/>
    <mergeCell ref="B140:C140"/>
    <mergeCell ref="B141:C141"/>
    <mergeCell ref="B142:C142"/>
    <mergeCell ref="B155:C155"/>
    <mergeCell ref="B156:C156"/>
    <mergeCell ref="B157:C157"/>
    <mergeCell ref="B158:C158"/>
    <mergeCell ref="B159:C159"/>
    <mergeCell ref="B160:C160"/>
    <mergeCell ref="B149:C149"/>
    <mergeCell ref="B150:C150"/>
    <mergeCell ref="B151:C151"/>
    <mergeCell ref="B152:C152"/>
    <mergeCell ref="B153:C153"/>
    <mergeCell ref="B154:C154"/>
    <mergeCell ref="B167:C167"/>
    <mergeCell ref="B168:C168"/>
    <mergeCell ref="B169:C169"/>
    <mergeCell ref="B170:C170"/>
    <mergeCell ref="B171:C171"/>
    <mergeCell ref="B172:C172"/>
    <mergeCell ref="B161:C161"/>
    <mergeCell ref="B162:C162"/>
    <mergeCell ref="B163:C163"/>
    <mergeCell ref="B164:C164"/>
    <mergeCell ref="B165:C165"/>
    <mergeCell ref="B166:C166"/>
    <mergeCell ref="B179:C179"/>
    <mergeCell ref="B180:C180"/>
    <mergeCell ref="B181:C181"/>
    <mergeCell ref="B182:C182"/>
    <mergeCell ref="B183:C183"/>
    <mergeCell ref="B184:C184"/>
    <mergeCell ref="B173:C173"/>
    <mergeCell ref="B174:C174"/>
    <mergeCell ref="B175:C175"/>
    <mergeCell ref="B176:C176"/>
    <mergeCell ref="B177:C177"/>
    <mergeCell ref="B178:C178"/>
    <mergeCell ref="B191:C191"/>
    <mergeCell ref="B192:C192"/>
    <mergeCell ref="B193:C193"/>
    <mergeCell ref="B194:C194"/>
    <mergeCell ref="B195:C195"/>
    <mergeCell ref="B196:C196"/>
    <mergeCell ref="B185:C185"/>
    <mergeCell ref="B186:C186"/>
    <mergeCell ref="B187:C187"/>
    <mergeCell ref="B188:C188"/>
    <mergeCell ref="B189:C189"/>
    <mergeCell ref="B190:C190"/>
    <mergeCell ref="B203:C203"/>
    <mergeCell ref="B204:C204"/>
    <mergeCell ref="B205:C205"/>
    <mergeCell ref="B206:C206"/>
    <mergeCell ref="B207:C207"/>
    <mergeCell ref="B208:C208"/>
    <mergeCell ref="B197:C197"/>
    <mergeCell ref="B198:C198"/>
    <mergeCell ref="B199:C199"/>
    <mergeCell ref="B200:C200"/>
    <mergeCell ref="B201:C201"/>
    <mergeCell ref="B202:C202"/>
    <mergeCell ref="B215:C215"/>
    <mergeCell ref="B216:C216"/>
    <mergeCell ref="B217:C217"/>
    <mergeCell ref="B218:C218"/>
    <mergeCell ref="B219:C219"/>
    <mergeCell ref="B220:C220"/>
    <mergeCell ref="B209:C209"/>
    <mergeCell ref="B210:C210"/>
    <mergeCell ref="B211:C211"/>
    <mergeCell ref="B212:C212"/>
    <mergeCell ref="B213:C213"/>
    <mergeCell ref="B214:C214"/>
    <mergeCell ref="B227:C227"/>
    <mergeCell ref="B228:C228"/>
    <mergeCell ref="B229:C229"/>
    <mergeCell ref="B230:C230"/>
    <mergeCell ref="B231:C231"/>
    <mergeCell ref="B232:C232"/>
    <mergeCell ref="B221:C221"/>
    <mergeCell ref="B222:C222"/>
    <mergeCell ref="B223:C223"/>
    <mergeCell ref="B224:C224"/>
    <mergeCell ref="B225:C225"/>
    <mergeCell ref="B226:C226"/>
    <mergeCell ref="B239:C239"/>
    <mergeCell ref="B240:C240"/>
    <mergeCell ref="B241:C241"/>
    <mergeCell ref="B242:C242"/>
    <mergeCell ref="B243:C243"/>
    <mergeCell ref="B244:C244"/>
    <mergeCell ref="B233:C233"/>
    <mergeCell ref="B234:C234"/>
    <mergeCell ref="B235:C235"/>
    <mergeCell ref="B236:C236"/>
    <mergeCell ref="B237:C237"/>
    <mergeCell ref="B238:C238"/>
    <mergeCell ref="B251:C251"/>
    <mergeCell ref="B252:C252"/>
    <mergeCell ref="B253:C253"/>
    <mergeCell ref="B254:C254"/>
    <mergeCell ref="B255:C255"/>
    <mergeCell ref="B256:C256"/>
    <mergeCell ref="B245:C245"/>
    <mergeCell ref="B246:C246"/>
    <mergeCell ref="B247:C247"/>
    <mergeCell ref="B248:C248"/>
    <mergeCell ref="B249:C249"/>
    <mergeCell ref="B250:C250"/>
    <mergeCell ref="B263:C263"/>
    <mergeCell ref="B264:C264"/>
    <mergeCell ref="B265:C265"/>
    <mergeCell ref="B266:C266"/>
    <mergeCell ref="B267:C267"/>
    <mergeCell ref="B257:C257"/>
    <mergeCell ref="B258:C258"/>
    <mergeCell ref="B259:C259"/>
    <mergeCell ref="B260:C260"/>
    <mergeCell ref="B261:C261"/>
    <mergeCell ref="B262:C262"/>
  </mergeCells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ff00"/>
  </sheetPr>
  <dimension ref="A1:D96"/>
  <sheetViews>
    <sheetView view="normal" workbookViewId="0">
      <pane xSplit="1" ySplit="4" topLeftCell="B89" activePane="bottomRight" state="frozen"/>
      <selection pane="bottomRight" activeCell="A77" sqref="A77"/>
    </sheetView>
  </sheetViews>
  <sheetFormatPr defaultColWidth="8.8515625" defaultRowHeight="14.5" baseColWidth="0"/>
  <cols>
    <col min="1" max="1" width="26.99609375" style="852" customWidth="1"/>
    <col min="2" max="3" width="11.99609375" style="851" customWidth="1"/>
    <col min="4" max="16384" width="8.8515625" style="852" customWidth="1"/>
  </cols>
  <sheetData>
    <row r="1" spans="1:1" ht="15.5">
      <c r="A1" s="850" t="s">
        <v>1108</v>
      </c>
    </row>
    <row r="2" spans="1:1" ht="19" thickBot="1">
      <c r="A2" s="853" t="s">
        <v>1109</v>
      </c>
    </row>
    <row r="3" spans="1:4" s="857" customFormat="1" ht="26.5" thickBot="1">
      <c r="A3" s="854" t="s">
        <v>1110</v>
      </c>
      <c r="B3" s="855" t="s">
        <v>1111</v>
      </c>
      <c r="C3" s="856" t="s">
        <v>1112</v>
      </c>
      <c r="D3" s="857"/>
    </row>
    <row r="4" spans="1:4" s="857" customFormat="1" ht="15.5" thickTop="1" thickBot="1">
      <c r="A4" s="858" t="s">
        <v>997</v>
      </c>
      <c r="B4" s="859" t="s">
        <v>1113</v>
      </c>
      <c r="C4" s="860" t="s">
        <v>1114</v>
      </c>
      <c r="D4" s="857"/>
    </row>
    <row r="5" spans="1:4" s="863" customFormat="1" ht="13" thickTop="1">
      <c r="A5" s="861" t="s">
        <v>1115</v>
      </c>
      <c r="B5" s="862">
        <v>114.8072</v>
      </c>
      <c r="C5" s="862">
        <v>13800</v>
      </c>
      <c r="D5" s="863"/>
    </row>
    <row r="6" spans="1:4" s="863" customFormat="1" ht="13">
      <c r="A6" s="864" t="s">
        <v>1116</v>
      </c>
      <c r="B6" s="862">
        <v>118.0879</v>
      </c>
      <c r="C6" s="862">
        <v>13926</v>
      </c>
      <c r="D6" s="863"/>
    </row>
    <row r="7" spans="1:4" s="863" customFormat="1" ht="13">
      <c r="A7" s="864" t="s">
        <v>1117</v>
      </c>
      <c r="B7" s="862">
        <v>118.2561</v>
      </c>
      <c r="C7" s="862">
        <v>13899</v>
      </c>
      <c r="D7" s="863"/>
    </row>
    <row r="8" spans="1:4" s="863" customFormat="1" ht="13">
      <c r="A8" s="864" t="s">
        <v>1118</v>
      </c>
      <c r="B8" s="862">
        <v>117.7044</v>
      </c>
      <c r="C8" s="862">
        <v>13883</v>
      </c>
      <c r="D8" s="863"/>
    </row>
    <row r="9" spans="1:4" s="863" customFormat="1" ht="13">
      <c r="A9" s="864" t="s">
        <v>1119</v>
      </c>
      <c r="B9" s="862">
        <v>115.4886</v>
      </c>
      <c r="C9" s="862">
        <v>13820</v>
      </c>
      <c r="D9" s="863"/>
    </row>
    <row r="10" spans="1:4" s="863" customFormat="1" ht="13">
      <c r="A10" s="864" t="s">
        <v>1120</v>
      </c>
      <c r="B10" s="862">
        <v>117.1816</v>
      </c>
      <c r="C10" s="862">
        <v>13658</v>
      </c>
      <c r="D10" s="863"/>
    </row>
    <row r="11" spans="1:4" s="863" customFormat="1" ht="13">
      <c r="A11" s="864" t="s">
        <v>1121</v>
      </c>
      <c r="B11" s="862">
        <v>118.6498</v>
      </c>
      <c r="C11" s="862">
        <v>13480</v>
      </c>
      <c r="D11" s="863"/>
    </row>
    <row r="12" spans="1:4" s="863" customFormat="1" ht="13">
      <c r="A12" s="864" t="s">
        <v>1122</v>
      </c>
      <c r="B12" s="862">
        <v>119.129</v>
      </c>
      <c r="C12" s="862">
        <v>13475</v>
      </c>
      <c r="D12" s="863"/>
    </row>
    <row r="13" spans="1:4" s="863" customFormat="1" ht="13">
      <c r="A13" s="864" t="s">
        <v>1123</v>
      </c>
      <c r="B13" s="865">
        <v>118.6894</v>
      </c>
      <c r="C13" s="865">
        <v>13407</v>
      </c>
      <c r="D13" s="863"/>
    </row>
    <row r="14" spans="1:4" s="863" customFormat="1" ht="13">
      <c r="A14" s="864" t="s">
        <v>1124</v>
      </c>
      <c r="B14" s="865">
        <v>116.1345</v>
      </c>
      <c r="C14" s="865">
        <v>13204</v>
      </c>
      <c r="D14" s="863"/>
    </row>
    <row r="15" spans="1:4" s="863" customFormat="1" ht="13">
      <c r="A15" s="864" t="s">
        <v>1125</v>
      </c>
      <c r="B15" s="865">
        <v>115.4455</v>
      </c>
      <c r="C15" s="865">
        <v>13091</v>
      </c>
      <c r="D15" s="863"/>
    </row>
    <row r="16" spans="1:4" s="863" customFormat="1" ht="13">
      <c r="A16" s="864" t="s">
        <v>1126</v>
      </c>
      <c r="B16" s="865">
        <v>117.4453</v>
      </c>
      <c r="C16" s="865">
        <v>13156</v>
      </c>
      <c r="D16" s="863"/>
    </row>
    <row r="17" spans="1:4" s="863" customFormat="1" ht="13">
      <c r="A17" s="864" t="s">
        <v>1127</v>
      </c>
      <c r="B17" s="865">
        <v>117.2506</v>
      </c>
      <c r="C17" s="865">
        <v>13233</v>
      </c>
      <c r="D17" s="863"/>
    </row>
    <row r="18" spans="1:4" s="863" customFormat="1" ht="13">
      <c r="A18" s="864" t="s">
        <v>1128</v>
      </c>
      <c r="B18" s="865">
        <v>118.0384</v>
      </c>
      <c r="C18" s="865">
        <v>13241</v>
      </c>
      <c r="D18" s="863"/>
    </row>
    <row r="19" spans="1:4" s="863" customFormat="1" ht="13">
      <c r="A19" s="864" t="s">
        <v>1129</v>
      </c>
      <c r="B19" s="865">
        <v>121.0641</v>
      </c>
      <c r="C19" s="865">
        <v>13179</v>
      </c>
      <c r="D19" s="863"/>
    </row>
    <row r="20" spans="1:4" s="863" customFormat="1" ht="13">
      <c r="A20" s="864" t="s">
        <v>1130</v>
      </c>
      <c r="B20" s="865">
        <v>121.0328</v>
      </c>
      <c r="C20" s="865">
        <v>13168</v>
      </c>
      <c r="D20" s="863"/>
    </row>
    <row r="21" spans="1:4" s="863" customFormat="1" ht="13">
      <c r="A21" s="864" t="s">
        <v>1131</v>
      </c>
      <c r="B21" s="865">
        <v>119.4064</v>
      </c>
      <c r="C21" s="865">
        <v>13173</v>
      </c>
      <c r="D21" s="863"/>
    </row>
    <row r="22" spans="1:4" s="863" customFormat="1" ht="13">
      <c r="A22" s="864" t="s">
        <v>1132</v>
      </c>
      <c r="B22" s="865">
        <v>121.3443</v>
      </c>
      <c r="C22" s="865">
        <v>13195</v>
      </c>
      <c r="D22" s="863"/>
    </row>
    <row r="23" spans="1:4" s="863" customFormat="1" ht="13">
      <c r="A23" s="864" t="s">
        <v>1133</v>
      </c>
      <c r="B23" s="862">
        <v>124.0747</v>
      </c>
      <c r="C23" s="862">
        <v>13289</v>
      </c>
      <c r="D23" s="863"/>
    </row>
    <row r="24" spans="1:4" s="863" customFormat="1" ht="13">
      <c r="A24" s="864" t="s">
        <v>1134</v>
      </c>
      <c r="B24" s="862">
        <v>122.3164</v>
      </c>
      <c r="C24" s="862">
        <v>13312</v>
      </c>
      <c r="D24" s="863"/>
    </row>
    <row r="25" spans="1:4" s="863" customFormat="1" ht="13">
      <c r="A25" s="864" t="s">
        <v>1135</v>
      </c>
      <c r="B25" s="862">
        <v>122.7901</v>
      </c>
      <c r="C25" s="862">
        <v>13488</v>
      </c>
      <c r="D25" s="863"/>
    </row>
    <row r="26" spans="1:4" s="863" customFormat="1" ht="13">
      <c r="A26" s="864" t="s">
        <v>1136</v>
      </c>
      <c r="B26" s="862">
        <v>123.5543</v>
      </c>
      <c r="C26" s="862">
        <v>13619</v>
      </c>
      <c r="D26" s="863"/>
    </row>
    <row r="27" spans="1:4" s="863" customFormat="1" ht="13">
      <c r="A27" s="864" t="s">
        <v>1137</v>
      </c>
      <c r="B27" s="862">
        <v>125.7446</v>
      </c>
      <c r="C27" s="862">
        <v>13637</v>
      </c>
      <c r="D27" s="863"/>
    </row>
    <row r="28" spans="1:4" s="863" customFormat="1" ht="13">
      <c r="A28" s="864" t="s">
        <v>1138</v>
      </c>
      <c r="B28" s="865">
        <v>124.3069</v>
      </c>
      <c r="C28" s="865">
        <v>13291</v>
      </c>
      <c r="D28" s="863"/>
    </row>
    <row r="29" spans="1:4" s="863" customFormat="1" ht="13">
      <c r="A29" s="864" t="s">
        <v>1139</v>
      </c>
      <c r="B29" s="865">
        <v>127.0536</v>
      </c>
      <c r="C29" s="865">
        <v>13348</v>
      </c>
      <c r="D29" s="863"/>
    </row>
    <row r="30" spans="1:4" s="863" customFormat="1" ht="13">
      <c r="A30" s="864" t="s">
        <v>1140</v>
      </c>
      <c r="B30" s="865">
        <v>128.1337</v>
      </c>
      <c r="C30" s="865">
        <v>13322</v>
      </c>
      <c r="D30" s="863"/>
    </row>
    <row r="31" spans="1:4" s="863" customFormat="1" ht="13">
      <c r="A31" s="864" t="s">
        <v>1141</v>
      </c>
      <c r="B31" s="866">
        <v>129.9974</v>
      </c>
      <c r="C31" s="866">
        <v>13169</v>
      </c>
      <c r="D31" s="863"/>
    </row>
    <row r="32" spans="1:4" s="863" customFormat="1" ht="13">
      <c r="A32" s="864" t="s">
        <v>1142</v>
      </c>
      <c r="B32" s="865">
        <v>124.8223</v>
      </c>
      <c r="C32" s="865">
        <v>13103</v>
      </c>
      <c r="D32" s="863"/>
    </row>
    <row r="33" spans="1:4" s="863" customFormat="1" ht="13">
      <c r="A33" s="864" t="s">
        <v>1143</v>
      </c>
      <c r="B33" s="865">
        <v>123.2705</v>
      </c>
      <c r="C33" s="865">
        <v>13108</v>
      </c>
      <c r="D33" s="863"/>
    </row>
    <row r="34" spans="1:4" s="863" customFormat="1" ht="13">
      <c r="A34" s="864" t="s">
        <v>1144</v>
      </c>
      <c r="B34" s="865">
        <v>126.2082</v>
      </c>
      <c r="C34" s="865">
        <v>13120</v>
      </c>
      <c r="D34" s="863"/>
    </row>
    <row r="35" spans="1:4" s="863" customFormat="1" ht="13">
      <c r="A35" s="864" t="s">
        <v>1145</v>
      </c>
      <c r="B35" s="865">
        <v>129.3599</v>
      </c>
      <c r="C35" s="865">
        <v>13121</v>
      </c>
      <c r="D35" s="863"/>
    </row>
    <row r="36" spans="1:4" s="863" customFormat="1" ht="13">
      <c r="A36" s="864" t="s">
        <v>1146</v>
      </c>
      <c r="B36" s="867">
        <v>129.1166</v>
      </c>
      <c r="C36" s="867">
        <v>13114</v>
      </c>
      <c r="D36" s="863"/>
    </row>
    <row r="37" spans="1:4" s="863" customFormat="1" ht="13">
      <c r="A37" s="864" t="s">
        <v>1147</v>
      </c>
      <c r="B37" s="865">
        <v>131.0545</v>
      </c>
      <c r="C37" s="865">
        <v>13139</v>
      </c>
      <c r="D37" s="863"/>
    </row>
    <row r="38" spans="1:4" s="863" customFormat="1" ht="13">
      <c r="A38" s="864" t="s">
        <v>1148</v>
      </c>
      <c r="B38" s="865">
        <v>131.0099</v>
      </c>
      <c r="C38" s="865">
        <v>13232</v>
      </c>
      <c r="D38" s="863"/>
    </row>
    <row r="39" spans="1:4" s="863" customFormat="1" ht="13">
      <c r="A39" s="864" t="s">
        <v>1149</v>
      </c>
      <c r="B39" s="865">
        <v>128.0373</v>
      </c>
      <c r="C39" s="865">
        <v>13252</v>
      </c>
      <c r="D39" s="863"/>
    </row>
    <row r="40" spans="1:4" s="863" customFormat="1" ht="13">
      <c r="A40" s="864" t="s">
        <v>1150</v>
      </c>
      <c r="B40" s="862">
        <v>128.5661</v>
      </c>
      <c r="C40" s="862">
        <v>13123</v>
      </c>
      <c r="D40" s="863"/>
    </row>
    <row r="41" spans="1:4" s="863" customFormat="1" ht="13">
      <c r="A41" s="864" t="s">
        <v>1151</v>
      </c>
      <c r="B41" s="865">
        <v>128.7625</v>
      </c>
      <c r="C41" s="865">
        <v>13173</v>
      </c>
      <c r="D41" s="863"/>
    </row>
    <row r="42" spans="1:4" s="863" customFormat="1" ht="13">
      <c r="A42" s="868" t="s">
        <v>1152</v>
      </c>
      <c r="B42" s="869">
        <v>129.8329</v>
      </c>
      <c r="C42" s="869">
        <v>13103</v>
      </c>
      <c r="D42" s="863"/>
    </row>
    <row r="43" spans="1:4" s="863" customFormat="1" ht="13">
      <c r="A43" s="868" t="s">
        <v>1153</v>
      </c>
      <c r="B43" s="865">
        <v>128.6198</v>
      </c>
      <c r="C43" s="865">
        <v>12987</v>
      </c>
      <c r="D43" s="863"/>
    </row>
    <row r="44" spans="1:4" s="863" customFormat="1" ht="13">
      <c r="A44" s="868" t="s">
        <v>1154</v>
      </c>
      <c r="B44" s="865">
        <v>125.7272</v>
      </c>
      <c r="C44" s="865">
        <v>12984</v>
      </c>
      <c r="D44" s="863"/>
    </row>
    <row r="45" spans="1:4" s="863" customFormat="1" ht="13">
      <c r="A45" s="868" t="s">
        <v>1155</v>
      </c>
      <c r="B45" s="865">
        <v>125.5086</v>
      </c>
      <c r="C45" s="865">
        <v>13043</v>
      </c>
      <c r="D45" s="863"/>
    </row>
    <row r="46" spans="1:4" s="863" customFormat="1" ht="13">
      <c r="A46" s="868" t="s">
        <v>1156</v>
      </c>
      <c r="B46" s="865">
        <v>125.4819</v>
      </c>
      <c r="C46" s="865">
        <v>13019</v>
      </c>
      <c r="D46" s="863"/>
    </row>
    <row r="47" spans="1:4" s="863" customFormat="1" ht="13">
      <c r="A47" s="868" t="s">
        <v>1157</v>
      </c>
      <c r="B47" s="865">
        <v>124.4213</v>
      </c>
      <c r="C47" s="865">
        <v>13030</v>
      </c>
      <c r="D47" s="863"/>
    </row>
    <row r="48" spans="1:4" s="863" customFormat="1" ht="12.5">
      <c r="A48" s="870"/>
      <c r="B48" s="871"/>
      <c r="C48" s="872"/>
      <c r="D48" s="863"/>
    </row>
    <row r="49" spans="1:4" s="863" customFormat="1" ht="12.5">
      <c r="A49" s="870"/>
      <c r="B49" s="871"/>
      <c r="C49" s="872"/>
      <c r="D49" s="863"/>
    </row>
    <row r="50" spans="1:4" s="863" customFormat="1" ht="12.5">
      <c r="A50" s="870"/>
      <c r="B50" s="871"/>
      <c r="C50" s="872"/>
      <c r="D50" s="863"/>
    </row>
    <row r="51" spans="1:4" s="863" customFormat="1" ht="12.5">
      <c r="A51" s="870"/>
      <c r="B51" s="871"/>
      <c r="C51" s="872"/>
      <c r="D51" s="863"/>
    </row>
    <row r="52" spans="1:4" s="863" customFormat="1" ht="12.5">
      <c r="A52" s="870"/>
      <c r="B52" s="871"/>
      <c r="C52" s="872"/>
      <c r="D52" s="863"/>
    </row>
    <row r="53" spans="1:4" s="863" customFormat="1" ht="12.5">
      <c r="A53" s="870"/>
      <c r="B53" s="871"/>
      <c r="C53" s="872"/>
      <c r="D53" s="863"/>
    </row>
    <row r="54" spans="1:4" s="863" customFormat="1" ht="12.5">
      <c r="A54" s="870"/>
      <c r="B54" s="871"/>
      <c r="C54" s="872"/>
      <c r="D54" s="863"/>
    </row>
    <row r="55" spans="1:4" s="863" customFormat="1" ht="12.5">
      <c r="A55" s="870"/>
      <c r="B55" s="873"/>
      <c r="C55" s="874"/>
      <c r="D55" s="863"/>
    </row>
    <row r="56" spans="1:4" s="863" customFormat="1" ht="15" customHeight="1" thickBot="1">
      <c r="A56" s="875"/>
      <c r="B56" s="876"/>
      <c r="C56" s="877"/>
      <c r="D56" s="863"/>
    </row>
    <row r="57" ht="15" thickBot="1"/>
    <row r="58" spans="1:4" s="857" customFormat="1" ht="26">
      <c r="A58" s="878" t="s">
        <v>1110</v>
      </c>
      <c r="B58" s="855" t="s">
        <v>1111</v>
      </c>
      <c r="C58" s="856" t="s">
        <v>1112</v>
      </c>
      <c r="D58" s="857"/>
    </row>
    <row r="59" spans="1:3" s="857" customFormat="1">
      <c r="A59" s="879"/>
      <c r="B59" s="880"/>
      <c r="C59" s="881"/>
    </row>
    <row r="60" spans="1:3">
      <c r="A60" s="882" t="s">
        <v>1158</v>
      </c>
      <c r="B60" s="883">
        <f>ROUNDDOWN(AVERAGE(B5:B56),2)</f>
        <v>123.09</v>
      </c>
      <c r="C60" s="884">
        <f>ROUNDDOWN(AVERAGE(C5:C56),2)</f>
        <v>13304.97</v>
      </c>
    </row>
    <row r="61" spans="1:3">
      <c r="A61" s="885"/>
      <c r="B61" s="883"/>
      <c r="C61" s="884"/>
    </row>
    <row r="62" spans="1:3">
      <c r="A62" s="882" t="s">
        <v>1159</v>
      </c>
      <c r="B62" s="883"/>
      <c r="C62" s="884"/>
    </row>
    <row r="63" spans="1:3">
      <c r="A63" s="886" t="s">
        <v>1160</v>
      </c>
      <c r="B63" s="883">
        <f>ROUNDDOWN(AVERAGE(B5:B8),2)</f>
        <v>117.21</v>
      </c>
      <c r="C63" s="883">
        <f>ROUNDDOWN(AVERAGE(C5:C8),2)</f>
        <v>13877</v>
      </c>
    </row>
    <row r="64" spans="1:3">
      <c r="A64" s="887" t="s">
        <v>1161</v>
      </c>
      <c r="B64" s="883">
        <f>ROUNDDOWN(AVERAGE(B8:B12),2)</f>
        <v>117.63</v>
      </c>
      <c r="C64" s="883">
        <f>ROUNDDOWN(AVERAGE(C8:C12),2)</f>
        <v>13663.2</v>
      </c>
    </row>
    <row r="65" spans="1:3" s="852" customFormat="1">
      <c r="A65" s="887" t="s">
        <v>1162</v>
      </c>
      <c r="B65" s="883">
        <f>ROUNDDOWN(AVERAGE(B12:B17),2)</f>
        <v>117.34</v>
      </c>
      <c r="C65" s="883">
        <f>ROUNDDOWN(AVERAGE(C12:C17),2)</f>
        <v>13261</v>
      </c>
    </row>
    <row r="66" spans="1:3" s="852" customFormat="1">
      <c r="A66" s="887" t="s">
        <v>1163</v>
      </c>
      <c r="B66" s="883">
        <f>ROUNDDOWN(AVERAGE(B17:B21),2)</f>
        <v>119.35</v>
      </c>
      <c r="C66" s="883">
        <f>ROUNDDOWN(AVERAGE(C17:C21),2)</f>
        <v>13198.8</v>
      </c>
    </row>
    <row r="67" spans="1:3" s="852" customFormat="1">
      <c r="A67" s="887" t="s">
        <v>1164</v>
      </c>
      <c r="B67" s="883">
        <f>ROUNDDOWN(AVERAGE(B21:B25),2)</f>
        <v>121.98</v>
      </c>
      <c r="C67" s="883">
        <f>ROUNDDOWN(AVERAGE(C21:C25),2)</f>
        <v>13291.4</v>
      </c>
    </row>
    <row r="68" spans="1:3" s="852" customFormat="1">
      <c r="A68" s="887" t="s">
        <v>1165</v>
      </c>
      <c r="B68" s="883">
        <f>ROUNDDOWN(AVERAGE(B26:B30),2)</f>
        <v>125.75</v>
      </c>
      <c r="C68" s="884">
        <f>ROUNDDOWN(AVERAGE(C26:C30),2)</f>
        <v>13443.4</v>
      </c>
    </row>
    <row r="69" spans="1:3" s="852" customFormat="1">
      <c r="A69" s="887" t="s">
        <v>1166</v>
      </c>
      <c r="B69" s="883">
        <f>ROUNDDOWN(AVERAGE(B30:B33),2)</f>
        <v>126.55</v>
      </c>
      <c r="C69" s="883">
        <f>ROUNDDOWN(AVERAGE(C30:C33),2)</f>
        <v>13175.5</v>
      </c>
    </row>
    <row r="70" spans="1:3" s="852" customFormat="1">
      <c r="A70" s="887" t="s">
        <v>1167</v>
      </c>
      <c r="B70" s="883">
        <f>ROUNDDOWN(AVERAGE(B33:B38),2)</f>
        <v>128.33</v>
      </c>
      <c r="C70" s="883">
        <f>ROUNDDOWN(AVERAGE(C33:C38),2)</f>
        <v>13139</v>
      </c>
    </row>
    <row r="71" spans="1:3" s="852" customFormat="1">
      <c r="A71" s="887" t="s">
        <v>1168</v>
      </c>
      <c r="B71" s="883">
        <f>ROUNDDOWN(AVERAGE(B38:B42),2)</f>
        <v>129.24</v>
      </c>
      <c r="C71" s="883">
        <f>ROUNDDOWN(AVERAGE(C38:C42),2)</f>
        <v>13176.6</v>
      </c>
    </row>
    <row r="72" spans="1:3" s="852" customFormat="1">
      <c r="A72" s="887" t="s">
        <v>1169</v>
      </c>
      <c r="B72" s="883">
        <f>ROUNDDOWN(AVERAGE(B42:B46),2)</f>
        <v>127.03</v>
      </c>
      <c r="C72" s="883">
        <f>ROUNDDOWN(AVERAGE(C42:C46),2)</f>
        <v>13027.2</v>
      </c>
    </row>
    <row r="73" spans="1:3" s="852" customFormat="1">
      <c r="A73" s="887" t="s">
        <v>1170</v>
      </c>
      <c r="B73" s="883"/>
      <c r="C73" s="883"/>
    </row>
    <row r="74" spans="1:3" s="852" customFormat="1">
      <c r="A74" s="887" t="s">
        <v>1171</v>
      </c>
      <c r="B74" s="883" t="e">
        <f>ROUNDDOWN(AVERAGE(B51:B56),2)</f>
        <v>#DIV/0!</v>
      </c>
      <c r="C74" s="884" t="e">
        <f>ROUNDDOWN(AVERAGE(C51:C56),2)</f>
        <v>#DIV/0!</v>
      </c>
    </row>
    <row r="75" spans="1:3" s="852" customFormat="1">
      <c r="A75" s="887"/>
      <c r="B75" s="883"/>
      <c r="C75" s="884"/>
    </row>
    <row r="76" spans="1:3" s="852" customFormat="1">
      <c r="A76" s="882" t="s">
        <v>1172</v>
      </c>
      <c r="B76" s="883"/>
      <c r="C76" s="884"/>
    </row>
    <row r="77" spans="1:3" s="852" customFormat="1">
      <c r="A77" s="887" t="s">
        <v>1173</v>
      </c>
      <c r="B77" s="883">
        <f>ROUNDDOWN(AVERAGE(B5:B12),2)</f>
        <v>117.41</v>
      </c>
      <c r="C77" s="883">
        <f>ROUNDDOWN(AVERAGE(C5:C12),2)</f>
        <v>13742.62</v>
      </c>
    </row>
    <row r="78" spans="1:3" s="852" customFormat="1">
      <c r="A78" s="887" t="s">
        <v>1174</v>
      </c>
      <c r="B78" s="883">
        <f>ROUNDDOWN(AVERAGE(B5:B17),2)</f>
        <v>117.25</v>
      </c>
      <c r="C78" s="884">
        <f>ROUNDDOWN(AVERAGE(C5:C17),2)</f>
        <v>13540.92</v>
      </c>
    </row>
    <row r="79" spans="1:3" s="852" customFormat="1">
      <c r="A79" s="887" t="s">
        <v>1175</v>
      </c>
      <c r="B79" s="883">
        <f>ROUNDDOWN(AVERAGE(B5:B21),2)</f>
        <v>117.87</v>
      </c>
      <c r="C79" s="883">
        <f>ROUNDDOWN(AVERAGE(C5:C21),2)</f>
        <v>13458.41</v>
      </c>
    </row>
    <row r="80" spans="1:3" s="852" customFormat="1">
      <c r="A80" s="887" t="s">
        <v>1176</v>
      </c>
      <c r="B80" s="883">
        <f>ROUNDDOWN(AVERAGE(B5:B25),2)</f>
        <v>118.77</v>
      </c>
      <c r="C80" s="883">
        <f>ROUNDDOWN(AVERAGE(C5:C25),2)</f>
        <v>13432.23</v>
      </c>
    </row>
    <row r="81" spans="1:3" s="852" customFormat="1">
      <c r="A81" s="887" t="s">
        <v>1177</v>
      </c>
      <c r="B81" s="883">
        <f>ROUNDDOWN(AVERAGE(B5:B30),2)</f>
        <v>120.12</v>
      </c>
      <c r="C81" s="884">
        <f>ROUNDDOWN(AVERAGE(C5:C30),2)</f>
        <v>13434.38</v>
      </c>
    </row>
    <row r="82" spans="1:3" s="852" customFormat="1">
      <c r="A82" s="887" t="s">
        <v>1178</v>
      </c>
      <c r="B82" s="883">
        <f>ROUNDDOWN(AVERAGE(B5:B33),2)</f>
        <v>120.73</v>
      </c>
      <c r="C82" s="883">
        <f>ROUNDDOWN(AVERAGE(C5:C33),2)</f>
        <v>13402.55</v>
      </c>
    </row>
    <row r="83" spans="1:3" s="852" customFormat="1">
      <c r="A83" s="887" t="s">
        <v>1179</v>
      </c>
      <c r="B83" s="883">
        <f>ROUNDDOWN(AVERAGE(B5:B38),2)</f>
        <v>121.99</v>
      </c>
      <c r="C83" s="884">
        <f>ROUNDDOWN(AVERAGE(C5:C38),2)</f>
        <v>13364.7</v>
      </c>
    </row>
    <row r="84" spans="1:3" s="852" customFormat="1">
      <c r="A84" s="887" t="s">
        <v>1180</v>
      </c>
      <c r="B84" s="883">
        <f>ROUNDDOWN(AVERAGE(B5:B42),2)</f>
        <v>122.71</v>
      </c>
      <c r="C84" s="883">
        <f>ROUNDDOWN(AVERAGE(C5:C42),2)</f>
        <v>13343.44</v>
      </c>
    </row>
    <row r="85" spans="1:3" s="852" customFormat="1">
      <c r="A85" s="887" t="s">
        <v>1181</v>
      </c>
      <c r="B85" s="883">
        <f>ROUNDDOWN(AVERAGE(B5:B46),2)</f>
        <v>123.05</v>
      </c>
      <c r="C85" s="883">
        <f>ROUNDDOWN(AVERAGE(C5:C46),2)</f>
        <v>13311.52</v>
      </c>
    </row>
    <row r="86" spans="1:3" s="852" customFormat="1">
      <c r="A86" s="887" t="s">
        <v>1182</v>
      </c>
      <c r="B86" s="883"/>
      <c r="C86" s="884"/>
    </row>
    <row r="87" spans="1:3" s="852" customFormat="1">
      <c r="A87" s="887" t="s">
        <v>1183</v>
      </c>
      <c r="B87" s="883"/>
      <c r="C87" s="884"/>
    </row>
    <row r="88" spans="1:3" s="852" customFormat="1">
      <c r="A88" s="887" t="s">
        <v>1184</v>
      </c>
      <c r="B88" s="883"/>
      <c r="C88" s="884"/>
    </row>
    <row r="89" spans="1:3" s="852" customFormat="1">
      <c r="A89" s="887" t="s">
        <v>1185</v>
      </c>
      <c r="B89" s="883"/>
      <c r="C89" s="884"/>
    </row>
    <row r="90" spans="1:3" s="852" customFormat="1">
      <c r="A90" s="887" t="s">
        <v>1186</v>
      </c>
      <c r="B90" s="883"/>
      <c r="C90" s="884"/>
    </row>
    <row r="91" spans="1:3" s="852" customFormat="1">
      <c r="A91" s="887" t="s">
        <v>1187</v>
      </c>
      <c r="B91" s="883"/>
      <c r="C91" s="884"/>
    </row>
    <row r="92" spans="1:3" s="852" customFormat="1">
      <c r="A92" s="887" t="s">
        <v>1188</v>
      </c>
      <c r="B92" s="883"/>
      <c r="C92" s="884"/>
    </row>
    <row r="93" spans="1:3" s="852" customFormat="1">
      <c r="A93" s="887" t="s">
        <v>1189</v>
      </c>
      <c r="B93" s="883"/>
      <c r="C93" s="884"/>
    </row>
    <row r="94" spans="1:3" s="852" customFormat="1">
      <c r="A94" s="887" t="s">
        <v>1190</v>
      </c>
      <c r="B94" s="883"/>
      <c r="C94" s="884"/>
    </row>
    <row r="95" spans="1:3" s="852" customFormat="1">
      <c r="A95" s="887" t="s">
        <v>1191</v>
      </c>
      <c r="B95" s="883"/>
      <c r="C95" s="884"/>
    </row>
    <row r="96" spans="1:3" s="852" customFormat="1" ht="15" thickBot="1">
      <c r="A96" s="888" t="s">
        <v>1192</v>
      </c>
      <c r="B96" s="889"/>
      <c r="C96" s="890"/>
    </row>
  </sheetData>
  <sheetProtection password="BDAF" sheet="1" objects="1" scenarios="1" selectLockedCells="1" selectUnlockedCells="1"/>
  <pageMargins left="0.62992125984251968" right="0.6692913385826772" top="0.47244094488188981" bottom="0.15748031496062992" header="0.31496062992125984" footer="0.31496062992125984"/>
  <pageSetup paperSize="9" orientation="portrait" r:id="rId1"/>
  <headerFooter>
    <oddHeader>&amp;R&amp;"Arial,Bold"&amp;12C.2.4.&amp;P</oddHeader>
  </headerFooter>
  <rowBreaks count="1" manualBreakCount="1">
    <brk id="57" max="25" man="1"/>
  </rowBreaks>
</worksheet>
</file>

<file path=xl/worksheets/sheet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ff00"/>
    <pageSetUpPr fitToPage="1"/>
  </sheetPr>
  <dimension ref="A1:M3204"/>
  <sheetViews>
    <sheetView zoomScale="85" zoomScaleNormal="85" view="normal" workbookViewId="0">
      <pane ySplit="3" topLeftCell="A3190" activePane="bottomLeft" state="frozen"/>
      <selection pane="bottomLeft" activeCell="D3196" sqref="D3196"/>
    </sheetView>
  </sheetViews>
  <sheetFormatPr defaultColWidth="42.99609375" defaultRowHeight="14" baseColWidth="0"/>
  <cols>
    <col min="1" max="2" width="4.13671875" style="1248" customWidth="1"/>
    <col min="3" max="3" width="15.8515625" style="976" customWidth="1"/>
    <col min="4" max="4" width="14.56640625" style="974" customWidth="1"/>
    <col min="5" max="5" width="14.13671875" style="895" customWidth="1"/>
    <col min="6" max="6" width="9.13671875" style="1247" customWidth="1"/>
    <col min="7" max="10" width="9.13671875" style="1248" customWidth="1"/>
    <col min="11" max="11" width="18.56640625" style="1248" bestFit="1" customWidth="1"/>
    <col min="12" max="236" width="9.13671875" style="1248" customWidth="1"/>
    <col min="237" max="237" width="31.56640625" style="1248" customWidth="1"/>
    <col min="238" max="240" width="9.13671875" style="1248" customWidth="1"/>
    <col min="241" max="241" width="42.99609375" style="1248" customWidth="1"/>
    <col min="242" max="243" width="4.13671875" style="1248" customWidth="1"/>
    <col min="244" max="244" width="15.8515625" style="1248" customWidth="1"/>
    <col min="245" max="245" width="14.56640625" style="1248" customWidth="1"/>
    <col min="246" max="246" width="14.13671875" style="1248" customWidth="1"/>
    <col min="247" max="251" width="9.13671875" style="1248" customWidth="1"/>
    <col min="252" max="252" width="8.99609375" style="1248" bestFit="1" customWidth="1"/>
    <col min="253" max="253" width="14.99609375" style="1248" customWidth="1"/>
    <col min="254" max="254" width="13.99609375" style="1248" bestFit="1" customWidth="1"/>
    <col min="255" max="255" width="9.13671875" style="1248" customWidth="1"/>
    <col min="256" max="256" width="12.7109375" style="1248" customWidth="1"/>
    <col min="257" max="492" width="9.13671875" style="1248" customWidth="1"/>
    <col min="493" max="493" width="31.56640625" style="1248" customWidth="1"/>
    <col min="494" max="496" width="9.13671875" style="1248" customWidth="1"/>
    <col min="497" max="497" width="42.99609375" style="1248" customWidth="1"/>
    <col min="498" max="499" width="4.13671875" style="1248" customWidth="1"/>
    <col min="500" max="500" width="15.8515625" style="1248" customWidth="1"/>
    <col min="501" max="501" width="14.56640625" style="1248" customWidth="1"/>
    <col min="502" max="502" width="14.13671875" style="1248" customWidth="1"/>
    <col min="503" max="507" width="9.13671875" style="1248" customWidth="1"/>
    <col min="508" max="508" width="8.99609375" style="1248" bestFit="1" customWidth="1"/>
    <col min="509" max="509" width="14.99609375" style="1248" customWidth="1"/>
    <col min="510" max="510" width="13.99609375" style="1248" bestFit="1" customWidth="1"/>
    <col min="511" max="511" width="9.13671875" style="1248" customWidth="1"/>
    <col min="512" max="512" width="12.7109375" style="1248" customWidth="1"/>
    <col min="513" max="748" width="9.13671875" style="1248" customWidth="1"/>
    <col min="749" max="749" width="31.56640625" style="1248" customWidth="1"/>
    <col min="750" max="752" width="9.13671875" style="1248" customWidth="1"/>
    <col min="753" max="753" width="42.99609375" style="1248" customWidth="1"/>
    <col min="754" max="755" width="4.13671875" style="1248" customWidth="1"/>
    <col min="756" max="756" width="15.8515625" style="1248" customWidth="1"/>
    <col min="757" max="757" width="14.56640625" style="1248" customWidth="1"/>
    <col min="758" max="758" width="14.13671875" style="1248" customWidth="1"/>
    <col min="759" max="763" width="9.13671875" style="1248" customWidth="1"/>
    <col min="764" max="764" width="8.99609375" style="1248" bestFit="1" customWidth="1"/>
    <col min="765" max="765" width="14.99609375" style="1248" customWidth="1"/>
    <col min="766" max="766" width="13.99609375" style="1248" bestFit="1" customWidth="1"/>
    <col min="767" max="767" width="9.13671875" style="1248" customWidth="1"/>
    <col min="768" max="768" width="12.7109375" style="1248" customWidth="1"/>
    <col min="769" max="1004" width="9.13671875" style="1248" customWidth="1"/>
    <col min="1005" max="1005" width="31.56640625" style="1248" customWidth="1"/>
    <col min="1006" max="1008" width="9.13671875" style="1248" customWidth="1"/>
    <col min="1009" max="1009" width="42.99609375" style="1248" customWidth="1"/>
    <col min="1010" max="1011" width="4.13671875" style="1248" customWidth="1"/>
    <col min="1012" max="1012" width="15.8515625" style="1248" customWidth="1"/>
    <col min="1013" max="1013" width="14.56640625" style="1248" customWidth="1"/>
    <col min="1014" max="1014" width="14.13671875" style="1248" customWidth="1"/>
    <col min="1015" max="1019" width="9.13671875" style="1248" customWidth="1"/>
    <col min="1020" max="1020" width="8.99609375" style="1248" bestFit="1" customWidth="1"/>
    <col min="1021" max="1021" width="14.99609375" style="1248" customWidth="1"/>
    <col min="1022" max="1022" width="13.99609375" style="1248" bestFit="1" customWidth="1"/>
    <col min="1023" max="1023" width="9.13671875" style="1248" customWidth="1"/>
    <col min="1024" max="1024" width="12.7109375" style="1248" customWidth="1"/>
    <col min="1025" max="1260" width="9.13671875" style="1248" customWidth="1"/>
    <col min="1261" max="1261" width="31.56640625" style="1248" customWidth="1"/>
    <col min="1262" max="1264" width="9.13671875" style="1248" customWidth="1"/>
    <col min="1265" max="1265" width="42.99609375" style="1248" customWidth="1"/>
    <col min="1266" max="1267" width="4.13671875" style="1248" customWidth="1"/>
    <col min="1268" max="1268" width="15.8515625" style="1248" customWidth="1"/>
    <col min="1269" max="1269" width="14.56640625" style="1248" customWidth="1"/>
    <col min="1270" max="1270" width="14.13671875" style="1248" customWidth="1"/>
    <col min="1271" max="1275" width="9.13671875" style="1248" customWidth="1"/>
    <col min="1276" max="1276" width="8.99609375" style="1248" bestFit="1" customWidth="1"/>
    <col min="1277" max="1277" width="14.99609375" style="1248" customWidth="1"/>
    <col min="1278" max="1278" width="13.99609375" style="1248" bestFit="1" customWidth="1"/>
    <col min="1279" max="1279" width="9.13671875" style="1248" customWidth="1"/>
    <col min="1280" max="1280" width="12.7109375" style="1248" customWidth="1"/>
    <col min="1281" max="1516" width="9.13671875" style="1248" customWidth="1"/>
    <col min="1517" max="1517" width="31.56640625" style="1248" customWidth="1"/>
    <col min="1518" max="1520" width="9.13671875" style="1248" customWidth="1"/>
    <col min="1521" max="1521" width="42.99609375" style="1248" customWidth="1"/>
    <col min="1522" max="1523" width="4.13671875" style="1248" customWidth="1"/>
    <col min="1524" max="1524" width="15.8515625" style="1248" customWidth="1"/>
    <col min="1525" max="1525" width="14.56640625" style="1248" customWidth="1"/>
    <col min="1526" max="1526" width="14.13671875" style="1248" customWidth="1"/>
    <col min="1527" max="1531" width="9.13671875" style="1248" customWidth="1"/>
    <col min="1532" max="1532" width="8.99609375" style="1248" bestFit="1" customWidth="1"/>
    <col min="1533" max="1533" width="14.99609375" style="1248" customWidth="1"/>
    <col min="1534" max="1534" width="13.99609375" style="1248" bestFit="1" customWidth="1"/>
    <col min="1535" max="1535" width="9.13671875" style="1248" customWidth="1"/>
    <col min="1536" max="1536" width="12.7109375" style="1248" customWidth="1"/>
    <col min="1537" max="1772" width="9.13671875" style="1248" customWidth="1"/>
    <col min="1773" max="1773" width="31.56640625" style="1248" customWidth="1"/>
    <col min="1774" max="1776" width="9.13671875" style="1248" customWidth="1"/>
    <col min="1777" max="1777" width="42.99609375" style="1248" customWidth="1"/>
    <col min="1778" max="1779" width="4.13671875" style="1248" customWidth="1"/>
    <col min="1780" max="1780" width="15.8515625" style="1248" customWidth="1"/>
    <col min="1781" max="1781" width="14.56640625" style="1248" customWidth="1"/>
    <col min="1782" max="1782" width="14.13671875" style="1248" customWidth="1"/>
    <col min="1783" max="1787" width="9.13671875" style="1248" customWidth="1"/>
    <col min="1788" max="1788" width="8.99609375" style="1248" bestFit="1" customWidth="1"/>
    <col min="1789" max="1789" width="14.99609375" style="1248" customWidth="1"/>
    <col min="1790" max="1790" width="13.99609375" style="1248" bestFit="1" customWidth="1"/>
    <col min="1791" max="1791" width="9.13671875" style="1248" customWidth="1"/>
    <col min="1792" max="1792" width="12.7109375" style="1248" customWidth="1"/>
    <col min="1793" max="2028" width="9.13671875" style="1248" customWidth="1"/>
    <col min="2029" max="2029" width="31.56640625" style="1248" customWidth="1"/>
    <col min="2030" max="2032" width="9.13671875" style="1248" customWidth="1"/>
    <col min="2033" max="2033" width="42.99609375" style="1248" customWidth="1"/>
    <col min="2034" max="2035" width="4.13671875" style="1248" customWidth="1"/>
    <col min="2036" max="2036" width="15.8515625" style="1248" customWidth="1"/>
    <col min="2037" max="2037" width="14.56640625" style="1248" customWidth="1"/>
    <col min="2038" max="2038" width="14.13671875" style="1248" customWidth="1"/>
    <col min="2039" max="2043" width="9.13671875" style="1248" customWidth="1"/>
    <col min="2044" max="2044" width="8.99609375" style="1248" bestFit="1" customWidth="1"/>
    <col min="2045" max="2045" width="14.99609375" style="1248" customWidth="1"/>
    <col min="2046" max="2046" width="13.99609375" style="1248" bestFit="1" customWidth="1"/>
    <col min="2047" max="2047" width="9.13671875" style="1248" customWidth="1"/>
    <col min="2048" max="2048" width="12.7109375" style="1248" customWidth="1"/>
    <col min="2049" max="2284" width="9.13671875" style="1248" customWidth="1"/>
    <col min="2285" max="2285" width="31.56640625" style="1248" customWidth="1"/>
    <col min="2286" max="2288" width="9.13671875" style="1248" customWidth="1"/>
    <col min="2289" max="2289" width="42.99609375" style="1248" customWidth="1"/>
    <col min="2290" max="2291" width="4.13671875" style="1248" customWidth="1"/>
    <col min="2292" max="2292" width="15.8515625" style="1248" customWidth="1"/>
    <col min="2293" max="2293" width="14.56640625" style="1248" customWidth="1"/>
    <col min="2294" max="2294" width="14.13671875" style="1248" customWidth="1"/>
    <col min="2295" max="2299" width="9.13671875" style="1248" customWidth="1"/>
    <col min="2300" max="2300" width="8.99609375" style="1248" bestFit="1" customWidth="1"/>
    <col min="2301" max="2301" width="14.99609375" style="1248" customWidth="1"/>
    <col min="2302" max="2302" width="13.99609375" style="1248" bestFit="1" customWidth="1"/>
    <col min="2303" max="2303" width="9.13671875" style="1248" customWidth="1"/>
    <col min="2304" max="2304" width="12.7109375" style="1248" customWidth="1"/>
    <col min="2305" max="2540" width="9.13671875" style="1248" customWidth="1"/>
    <col min="2541" max="2541" width="31.56640625" style="1248" customWidth="1"/>
    <col min="2542" max="2544" width="9.13671875" style="1248" customWidth="1"/>
    <col min="2545" max="2545" width="42.99609375" style="1248" customWidth="1"/>
    <col min="2546" max="2547" width="4.13671875" style="1248" customWidth="1"/>
    <col min="2548" max="2548" width="15.8515625" style="1248" customWidth="1"/>
    <col min="2549" max="2549" width="14.56640625" style="1248" customWidth="1"/>
    <col min="2550" max="2550" width="14.13671875" style="1248" customWidth="1"/>
    <col min="2551" max="2555" width="9.13671875" style="1248" customWidth="1"/>
    <col min="2556" max="2556" width="8.99609375" style="1248" bestFit="1" customWidth="1"/>
    <col min="2557" max="2557" width="14.99609375" style="1248" customWidth="1"/>
    <col min="2558" max="2558" width="13.99609375" style="1248" bestFit="1" customWidth="1"/>
    <col min="2559" max="2559" width="9.13671875" style="1248" customWidth="1"/>
    <col min="2560" max="2560" width="12.7109375" style="1248" customWidth="1"/>
    <col min="2561" max="2796" width="9.13671875" style="1248" customWidth="1"/>
    <col min="2797" max="2797" width="31.56640625" style="1248" customWidth="1"/>
    <col min="2798" max="2800" width="9.13671875" style="1248" customWidth="1"/>
    <col min="2801" max="2801" width="42.99609375" style="1248" customWidth="1"/>
    <col min="2802" max="2803" width="4.13671875" style="1248" customWidth="1"/>
    <col min="2804" max="2804" width="15.8515625" style="1248" customWidth="1"/>
    <col min="2805" max="2805" width="14.56640625" style="1248" customWidth="1"/>
    <col min="2806" max="2806" width="14.13671875" style="1248" customWidth="1"/>
    <col min="2807" max="2811" width="9.13671875" style="1248" customWidth="1"/>
    <col min="2812" max="2812" width="8.99609375" style="1248" bestFit="1" customWidth="1"/>
    <col min="2813" max="2813" width="14.99609375" style="1248" customWidth="1"/>
    <col min="2814" max="2814" width="13.99609375" style="1248" bestFit="1" customWidth="1"/>
    <col min="2815" max="2815" width="9.13671875" style="1248" customWidth="1"/>
    <col min="2816" max="2816" width="12.7109375" style="1248" customWidth="1"/>
    <col min="2817" max="3052" width="9.13671875" style="1248" customWidth="1"/>
    <col min="3053" max="3053" width="31.56640625" style="1248" customWidth="1"/>
    <col min="3054" max="3056" width="9.13671875" style="1248" customWidth="1"/>
    <col min="3057" max="3057" width="42.99609375" style="1248" customWidth="1"/>
    <col min="3058" max="3059" width="4.13671875" style="1248" customWidth="1"/>
    <col min="3060" max="3060" width="15.8515625" style="1248" customWidth="1"/>
    <col min="3061" max="3061" width="14.56640625" style="1248" customWidth="1"/>
    <col min="3062" max="3062" width="14.13671875" style="1248" customWidth="1"/>
    <col min="3063" max="3067" width="9.13671875" style="1248" customWidth="1"/>
    <col min="3068" max="3068" width="8.99609375" style="1248" bestFit="1" customWidth="1"/>
    <col min="3069" max="3069" width="14.99609375" style="1248" customWidth="1"/>
    <col min="3070" max="3070" width="13.99609375" style="1248" bestFit="1" customWidth="1"/>
    <col min="3071" max="3071" width="9.13671875" style="1248" customWidth="1"/>
    <col min="3072" max="3072" width="12.7109375" style="1248" customWidth="1"/>
    <col min="3073" max="3308" width="9.13671875" style="1248" customWidth="1"/>
    <col min="3309" max="3309" width="31.56640625" style="1248" customWidth="1"/>
    <col min="3310" max="3312" width="9.13671875" style="1248" customWidth="1"/>
    <col min="3313" max="3313" width="42.99609375" style="1248" customWidth="1"/>
    <col min="3314" max="3315" width="4.13671875" style="1248" customWidth="1"/>
    <col min="3316" max="3316" width="15.8515625" style="1248" customWidth="1"/>
    <col min="3317" max="3317" width="14.56640625" style="1248" customWidth="1"/>
    <col min="3318" max="3318" width="14.13671875" style="1248" customWidth="1"/>
    <col min="3319" max="3323" width="9.13671875" style="1248" customWidth="1"/>
    <col min="3324" max="3324" width="8.99609375" style="1248" bestFit="1" customWidth="1"/>
    <col min="3325" max="3325" width="14.99609375" style="1248" customWidth="1"/>
    <col min="3326" max="3326" width="13.99609375" style="1248" bestFit="1" customWidth="1"/>
    <col min="3327" max="3327" width="9.13671875" style="1248" customWidth="1"/>
    <col min="3328" max="3328" width="12.7109375" style="1248" customWidth="1"/>
    <col min="3329" max="3564" width="9.13671875" style="1248" customWidth="1"/>
    <col min="3565" max="3565" width="31.56640625" style="1248" customWidth="1"/>
    <col min="3566" max="3568" width="9.13671875" style="1248" customWidth="1"/>
    <col min="3569" max="3569" width="42.99609375" style="1248" customWidth="1"/>
    <col min="3570" max="3571" width="4.13671875" style="1248" customWidth="1"/>
    <col min="3572" max="3572" width="15.8515625" style="1248" customWidth="1"/>
    <col min="3573" max="3573" width="14.56640625" style="1248" customWidth="1"/>
    <col min="3574" max="3574" width="14.13671875" style="1248" customWidth="1"/>
    <col min="3575" max="3579" width="9.13671875" style="1248" customWidth="1"/>
    <col min="3580" max="3580" width="8.99609375" style="1248" bestFit="1" customWidth="1"/>
    <col min="3581" max="3581" width="14.99609375" style="1248" customWidth="1"/>
    <col min="3582" max="3582" width="13.99609375" style="1248" bestFit="1" customWidth="1"/>
    <col min="3583" max="3583" width="9.13671875" style="1248" customWidth="1"/>
    <col min="3584" max="3584" width="12.7109375" style="1248" customWidth="1"/>
    <col min="3585" max="3820" width="9.13671875" style="1248" customWidth="1"/>
    <col min="3821" max="3821" width="31.56640625" style="1248" customWidth="1"/>
    <col min="3822" max="3824" width="9.13671875" style="1248" customWidth="1"/>
    <col min="3825" max="3825" width="42.99609375" style="1248" customWidth="1"/>
    <col min="3826" max="3827" width="4.13671875" style="1248" customWidth="1"/>
    <col min="3828" max="3828" width="15.8515625" style="1248" customWidth="1"/>
    <col min="3829" max="3829" width="14.56640625" style="1248" customWidth="1"/>
    <col min="3830" max="3830" width="14.13671875" style="1248" customWidth="1"/>
    <col min="3831" max="3835" width="9.13671875" style="1248" customWidth="1"/>
    <col min="3836" max="3836" width="8.99609375" style="1248" bestFit="1" customWidth="1"/>
    <col min="3837" max="3837" width="14.99609375" style="1248" customWidth="1"/>
    <col min="3838" max="3838" width="13.99609375" style="1248" bestFit="1" customWidth="1"/>
    <col min="3839" max="3839" width="9.13671875" style="1248" customWidth="1"/>
    <col min="3840" max="3840" width="12.7109375" style="1248" customWidth="1"/>
    <col min="3841" max="4076" width="9.13671875" style="1248" customWidth="1"/>
    <col min="4077" max="4077" width="31.56640625" style="1248" customWidth="1"/>
    <col min="4078" max="4080" width="9.13671875" style="1248" customWidth="1"/>
    <col min="4081" max="4081" width="42.99609375" style="1248" customWidth="1"/>
    <col min="4082" max="4083" width="4.13671875" style="1248" customWidth="1"/>
    <col min="4084" max="4084" width="15.8515625" style="1248" customWidth="1"/>
    <col min="4085" max="4085" width="14.56640625" style="1248" customWidth="1"/>
    <col min="4086" max="4086" width="14.13671875" style="1248" customWidth="1"/>
    <col min="4087" max="4091" width="9.13671875" style="1248" customWidth="1"/>
    <col min="4092" max="4092" width="8.99609375" style="1248" bestFit="1" customWidth="1"/>
    <col min="4093" max="4093" width="14.99609375" style="1248" customWidth="1"/>
    <col min="4094" max="4094" width="13.99609375" style="1248" bestFit="1" customWidth="1"/>
    <col min="4095" max="4095" width="9.13671875" style="1248" customWidth="1"/>
    <col min="4096" max="4096" width="12.7109375" style="1248" customWidth="1"/>
    <col min="4097" max="4332" width="9.13671875" style="1248" customWidth="1"/>
    <col min="4333" max="4333" width="31.56640625" style="1248" customWidth="1"/>
    <col min="4334" max="4336" width="9.13671875" style="1248" customWidth="1"/>
    <col min="4337" max="4337" width="42.99609375" style="1248" customWidth="1"/>
    <col min="4338" max="4339" width="4.13671875" style="1248" customWidth="1"/>
    <col min="4340" max="4340" width="15.8515625" style="1248" customWidth="1"/>
    <col min="4341" max="4341" width="14.56640625" style="1248" customWidth="1"/>
    <col min="4342" max="4342" width="14.13671875" style="1248" customWidth="1"/>
    <col min="4343" max="4347" width="9.13671875" style="1248" customWidth="1"/>
    <col min="4348" max="4348" width="8.99609375" style="1248" bestFit="1" customWidth="1"/>
    <col min="4349" max="4349" width="14.99609375" style="1248" customWidth="1"/>
    <col min="4350" max="4350" width="13.99609375" style="1248" bestFit="1" customWidth="1"/>
    <col min="4351" max="4351" width="9.13671875" style="1248" customWidth="1"/>
    <col min="4352" max="4352" width="12.7109375" style="1248" customWidth="1"/>
    <col min="4353" max="4588" width="9.13671875" style="1248" customWidth="1"/>
    <col min="4589" max="4589" width="31.56640625" style="1248" customWidth="1"/>
    <col min="4590" max="4592" width="9.13671875" style="1248" customWidth="1"/>
    <col min="4593" max="4593" width="42.99609375" style="1248" customWidth="1"/>
    <col min="4594" max="4595" width="4.13671875" style="1248" customWidth="1"/>
    <col min="4596" max="4596" width="15.8515625" style="1248" customWidth="1"/>
    <col min="4597" max="4597" width="14.56640625" style="1248" customWidth="1"/>
    <col min="4598" max="4598" width="14.13671875" style="1248" customWidth="1"/>
    <col min="4599" max="4603" width="9.13671875" style="1248" customWidth="1"/>
    <col min="4604" max="4604" width="8.99609375" style="1248" bestFit="1" customWidth="1"/>
    <col min="4605" max="4605" width="14.99609375" style="1248" customWidth="1"/>
    <col min="4606" max="4606" width="13.99609375" style="1248" bestFit="1" customWidth="1"/>
    <col min="4607" max="4607" width="9.13671875" style="1248" customWidth="1"/>
    <col min="4608" max="4608" width="12.7109375" style="1248" customWidth="1"/>
    <col min="4609" max="4844" width="9.13671875" style="1248" customWidth="1"/>
    <col min="4845" max="4845" width="31.56640625" style="1248" customWidth="1"/>
    <col min="4846" max="4848" width="9.13671875" style="1248" customWidth="1"/>
    <col min="4849" max="4849" width="42.99609375" style="1248" customWidth="1"/>
    <col min="4850" max="4851" width="4.13671875" style="1248" customWidth="1"/>
    <col min="4852" max="4852" width="15.8515625" style="1248" customWidth="1"/>
    <col min="4853" max="4853" width="14.56640625" style="1248" customWidth="1"/>
    <col min="4854" max="4854" width="14.13671875" style="1248" customWidth="1"/>
    <col min="4855" max="4859" width="9.13671875" style="1248" customWidth="1"/>
    <col min="4860" max="4860" width="8.99609375" style="1248" bestFit="1" customWidth="1"/>
    <col min="4861" max="4861" width="14.99609375" style="1248" customWidth="1"/>
    <col min="4862" max="4862" width="13.99609375" style="1248" bestFit="1" customWidth="1"/>
    <col min="4863" max="4863" width="9.13671875" style="1248" customWidth="1"/>
    <col min="4864" max="4864" width="12.7109375" style="1248" customWidth="1"/>
    <col min="4865" max="5100" width="9.13671875" style="1248" customWidth="1"/>
    <col min="5101" max="5101" width="31.56640625" style="1248" customWidth="1"/>
    <col min="5102" max="5104" width="9.13671875" style="1248" customWidth="1"/>
    <col min="5105" max="5105" width="42.99609375" style="1248" customWidth="1"/>
    <col min="5106" max="5107" width="4.13671875" style="1248" customWidth="1"/>
    <col min="5108" max="5108" width="15.8515625" style="1248" customWidth="1"/>
    <col min="5109" max="5109" width="14.56640625" style="1248" customWidth="1"/>
    <col min="5110" max="5110" width="14.13671875" style="1248" customWidth="1"/>
    <col min="5111" max="5115" width="9.13671875" style="1248" customWidth="1"/>
    <col min="5116" max="5116" width="8.99609375" style="1248" bestFit="1" customWidth="1"/>
    <col min="5117" max="5117" width="14.99609375" style="1248" customWidth="1"/>
    <col min="5118" max="5118" width="13.99609375" style="1248" bestFit="1" customWidth="1"/>
    <col min="5119" max="5119" width="9.13671875" style="1248" customWidth="1"/>
    <col min="5120" max="5120" width="12.7109375" style="1248" customWidth="1"/>
    <col min="5121" max="5356" width="9.13671875" style="1248" customWidth="1"/>
    <col min="5357" max="5357" width="31.56640625" style="1248" customWidth="1"/>
    <col min="5358" max="5360" width="9.13671875" style="1248" customWidth="1"/>
    <col min="5361" max="5361" width="42.99609375" style="1248" customWidth="1"/>
    <col min="5362" max="5363" width="4.13671875" style="1248" customWidth="1"/>
    <col min="5364" max="5364" width="15.8515625" style="1248" customWidth="1"/>
    <col min="5365" max="5365" width="14.56640625" style="1248" customWidth="1"/>
    <col min="5366" max="5366" width="14.13671875" style="1248" customWidth="1"/>
    <col min="5367" max="5371" width="9.13671875" style="1248" customWidth="1"/>
    <col min="5372" max="5372" width="8.99609375" style="1248" bestFit="1" customWidth="1"/>
    <col min="5373" max="5373" width="14.99609375" style="1248" customWidth="1"/>
    <col min="5374" max="5374" width="13.99609375" style="1248" bestFit="1" customWidth="1"/>
    <col min="5375" max="5375" width="9.13671875" style="1248" customWidth="1"/>
    <col min="5376" max="5376" width="12.7109375" style="1248" customWidth="1"/>
    <col min="5377" max="5612" width="9.13671875" style="1248" customWidth="1"/>
    <col min="5613" max="5613" width="31.56640625" style="1248" customWidth="1"/>
    <col min="5614" max="5616" width="9.13671875" style="1248" customWidth="1"/>
    <col min="5617" max="5617" width="42.99609375" style="1248" customWidth="1"/>
    <col min="5618" max="5619" width="4.13671875" style="1248" customWidth="1"/>
    <col min="5620" max="5620" width="15.8515625" style="1248" customWidth="1"/>
    <col min="5621" max="5621" width="14.56640625" style="1248" customWidth="1"/>
    <col min="5622" max="5622" width="14.13671875" style="1248" customWidth="1"/>
    <col min="5623" max="5627" width="9.13671875" style="1248" customWidth="1"/>
    <col min="5628" max="5628" width="8.99609375" style="1248" bestFit="1" customWidth="1"/>
    <col min="5629" max="5629" width="14.99609375" style="1248" customWidth="1"/>
    <col min="5630" max="5630" width="13.99609375" style="1248" bestFit="1" customWidth="1"/>
    <col min="5631" max="5631" width="9.13671875" style="1248" customWidth="1"/>
    <col min="5632" max="5632" width="12.7109375" style="1248" customWidth="1"/>
    <col min="5633" max="5868" width="9.13671875" style="1248" customWidth="1"/>
    <col min="5869" max="5869" width="31.56640625" style="1248" customWidth="1"/>
    <col min="5870" max="5872" width="9.13671875" style="1248" customWidth="1"/>
    <col min="5873" max="5873" width="42.99609375" style="1248" customWidth="1"/>
    <col min="5874" max="5875" width="4.13671875" style="1248" customWidth="1"/>
    <col min="5876" max="5876" width="15.8515625" style="1248" customWidth="1"/>
    <col min="5877" max="5877" width="14.56640625" style="1248" customWidth="1"/>
    <col min="5878" max="5878" width="14.13671875" style="1248" customWidth="1"/>
    <col min="5879" max="5883" width="9.13671875" style="1248" customWidth="1"/>
    <col min="5884" max="5884" width="8.99609375" style="1248" bestFit="1" customWidth="1"/>
    <col min="5885" max="5885" width="14.99609375" style="1248" customWidth="1"/>
    <col min="5886" max="5886" width="13.99609375" style="1248" bestFit="1" customWidth="1"/>
    <col min="5887" max="5887" width="9.13671875" style="1248" customWidth="1"/>
    <col min="5888" max="5888" width="12.7109375" style="1248" customWidth="1"/>
    <col min="5889" max="6124" width="9.13671875" style="1248" customWidth="1"/>
    <col min="6125" max="6125" width="31.56640625" style="1248" customWidth="1"/>
    <col min="6126" max="6128" width="9.13671875" style="1248" customWidth="1"/>
    <col min="6129" max="6129" width="42.99609375" style="1248" customWidth="1"/>
    <col min="6130" max="6131" width="4.13671875" style="1248" customWidth="1"/>
    <col min="6132" max="6132" width="15.8515625" style="1248" customWidth="1"/>
    <col min="6133" max="6133" width="14.56640625" style="1248" customWidth="1"/>
    <col min="6134" max="6134" width="14.13671875" style="1248" customWidth="1"/>
    <col min="6135" max="6139" width="9.13671875" style="1248" customWidth="1"/>
    <col min="6140" max="6140" width="8.99609375" style="1248" bestFit="1" customWidth="1"/>
    <col min="6141" max="6141" width="14.99609375" style="1248" customWidth="1"/>
    <col min="6142" max="6142" width="13.99609375" style="1248" bestFit="1" customWidth="1"/>
    <col min="6143" max="6143" width="9.13671875" style="1248" customWidth="1"/>
    <col min="6144" max="6144" width="12.7109375" style="1248" customWidth="1"/>
    <col min="6145" max="6380" width="9.13671875" style="1248" customWidth="1"/>
    <col min="6381" max="6381" width="31.56640625" style="1248" customWidth="1"/>
    <col min="6382" max="6384" width="9.13671875" style="1248" customWidth="1"/>
    <col min="6385" max="6385" width="42.99609375" style="1248" customWidth="1"/>
    <col min="6386" max="6387" width="4.13671875" style="1248" customWidth="1"/>
    <col min="6388" max="6388" width="15.8515625" style="1248" customWidth="1"/>
    <col min="6389" max="6389" width="14.56640625" style="1248" customWidth="1"/>
    <col min="6390" max="6390" width="14.13671875" style="1248" customWidth="1"/>
    <col min="6391" max="6395" width="9.13671875" style="1248" customWidth="1"/>
    <col min="6396" max="6396" width="8.99609375" style="1248" bestFit="1" customWidth="1"/>
    <col min="6397" max="6397" width="14.99609375" style="1248" customWidth="1"/>
    <col min="6398" max="6398" width="13.99609375" style="1248" bestFit="1" customWidth="1"/>
    <col min="6399" max="6399" width="9.13671875" style="1248" customWidth="1"/>
    <col min="6400" max="6400" width="12.7109375" style="1248" customWidth="1"/>
    <col min="6401" max="6636" width="9.13671875" style="1248" customWidth="1"/>
    <col min="6637" max="6637" width="31.56640625" style="1248" customWidth="1"/>
    <col min="6638" max="6640" width="9.13671875" style="1248" customWidth="1"/>
    <col min="6641" max="6641" width="42.99609375" style="1248" customWidth="1"/>
    <col min="6642" max="6643" width="4.13671875" style="1248" customWidth="1"/>
    <col min="6644" max="6644" width="15.8515625" style="1248" customWidth="1"/>
    <col min="6645" max="6645" width="14.56640625" style="1248" customWidth="1"/>
    <col min="6646" max="6646" width="14.13671875" style="1248" customWidth="1"/>
    <col min="6647" max="6651" width="9.13671875" style="1248" customWidth="1"/>
    <col min="6652" max="6652" width="8.99609375" style="1248" bestFit="1" customWidth="1"/>
    <col min="6653" max="6653" width="14.99609375" style="1248" customWidth="1"/>
    <col min="6654" max="6654" width="13.99609375" style="1248" bestFit="1" customWidth="1"/>
    <col min="6655" max="6655" width="9.13671875" style="1248" customWidth="1"/>
    <col min="6656" max="6656" width="12.7109375" style="1248" customWidth="1"/>
    <col min="6657" max="6892" width="9.13671875" style="1248" customWidth="1"/>
    <col min="6893" max="6893" width="31.56640625" style="1248" customWidth="1"/>
    <col min="6894" max="6896" width="9.13671875" style="1248" customWidth="1"/>
    <col min="6897" max="6897" width="42.99609375" style="1248" customWidth="1"/>
    <col min="6898" max="6899" width="4.13671875" style="1248" customWidth="1"/>
    <col min="6900" max="6900" width="15.8515625" style="1248" customWidth="1"/>
    <col min="6901" max="6901" width="14.56640625" style="1248" customWidth="1"/>
    <col min="6902" max="6902" width="14.13671875" style="1248" customWidth="1"/>
    <col min="6903" max="6907" width="9.13671875" style="1248" customWidth="1"/>
    <col min="6908" max="6908" width="8.99609375" style="1248" bestFit="1" customWidth="1"/>
    <col min="6909" max="6909" width="14.99609375" style="1248" customWidth="1"/>
    <col min="6910" max="6910" width="13.99609375" style="1248" bestFit="1" customWidth="1"/>
    <col min="6911" max="6911" width="9.13671875" style="1248" customWidth="1"/>
    <col min="6912" max="6912" width="12.7109375" style="1248" customWidth="1"/>
    <col min="6913" max="7148" width="9.13671875" style="1248" customWidth="1"/>
    <col min="7149" max="7149" width="31.56640625" style="1248" customWidth="1"/>
    <col min="7150" max="7152" width="9.13671875" style="1248" customWidth="1"/>
    <col min="7153" max="7153" width="42.99609375" style="1248" customWidth="1"/>
    <col min="7154" max="7155" width="4.13671875" style="1248" customWidth="1"/>
    <col min="7156" max="7156" width="15.8515625" style="1248" customWidth="1"/>
    <col min="7157" max="7157" width="14.56640625" style="1248" customWidth="1"/>
    <col min="7158" max="7158" width="14.13671875" style="1248" customWidth="1"/>
    <col min="7159" max="7163" width="9.13671875" style="1248" customWidth="1"/>
    <col min="7164" max="7164" width="8.99609375" style="1248" bestFit="1" customWidth="1"/>
    <col min="7165" max="7165" width="14.99609375" style="1248" customWidth="1"/>
    <col min="7166" max="7166" width="13.99609375" style="1248" bestFit="1" customWidth="1"/>
    <col min="7167" max="7167" width="9.13671875" style="1248" customWidth="1"/>
    <col min="7168" max="7168" width="12.7109375" style="1248" customWidth="1"/>
    <col min="7169" max="7404" width="9.13671875" style="1248" customWidth="1"/>
    <col min="7405" max="7405" width="31.56640625" style="1248" customWidth="1"/>
    <col min="7406" max="7408" width="9.13671875" style="1248" customWidth="1"/>
    <col min="7409" max="7409" width="42.99609375" style="1248" customWidth="1"/>
    <col min="7410" max="7411" width="4.13671875" style="1248" customWidth="1"/>
    <col min="7412" max="7412" width="15.8515625" style="1248" customWidth="1"/>
    <col min="7413" max="7413" width="14.56640625" style="1248" customWidth="1"/>
    <col min="7414" max="7414" width="14.13671875" style="1248" customWidth="1"/>
    <col min="7415" max="7419" width="9.13671875" style="1248" customWidth="1"/>
    <col min="7420" max="7420" width="8.99609375" style="1248" bestFit="1" customWidth="1"/>
    <col min="7421" max="7421" width="14.99609375" style="1248" customWidth="1"/>
    <col min="7422" max="7422" width="13.99609375" style="1248" bestFit="1" customWidth="1"/>
    <col min="7423" max="7423" width="9.13671875" style="1248" customWidth="1"/>
    <col min="7424" max="7424" width="12.7109375" style="1248" customWidth="1"/>
    <col min="7425" max="7660" width="9.13671875" style="1248" customWidth="1"/>
    <col min="7661" max="7661" width="31.56640625" style="1248" customWidth="1"/>
    <col min="7662" max="7664" width="9.13671875" style="1248" customWidth="1"/>
    <col min="7665" max="7665" width="42.99609375" style="1248" customWidth="1"/>
    <col min="7666" max="7667" width="4.13671875" style="1248" customWidth="1"/>
    <col min="7668" max="7668" width="15.8515625" style="1248" customWidth="1"/>
    <col min="7669" max="7669" width="14.56640625" style="1248" customWidth="1"/>
    <col min="7670" max="7670" width="14.13671875" style="1248" customWidth="1"/>
    <col min="7671" max="7675" width="9.13671875" style="1248" customWidth="1"/>
    <col min="7676" max="7676" width="8.99609375" style="1248" bestFit="1" customWidth="1"/>
    <col min="7677" max="7677" width="14.99609375" style="1248" customWidth="1"/>
    <col min="7678" max="7678" width="13.99609375" style="1248" bestFit="1" customWidth="1"/>
    <col min="7679" max="7679" width="9.13671875" style="1248" customWidth="1"/>
    <col min="7680" max="7680" width="12.7109375" style="1248" customWidth="1"/>
    <col min="7681" max="7916" width="9.13671875" style="1248" customWidth="1"/>
    <col min="7917" max="7917" width="31.56640625" style="1248" customWidth="1"/>
    <col min="7918" max="7920" width="9.13671875" style="1248" customWidth="1"/>
    <col min="7921" max="7921" width="42.99609375" style="1248" customWidth="1"/>
    <col min="7922" max="7923" width="4.13671875" style="1248" customWidth="1"/>
    <col min="7924" max="7924" width="15.8515625" style="1248" customWidth="1"/>
    <col min="7925" max="7925" width="14.56640625" style="1248" customWidth="1"/>
    <col min="7926" max="7926" width="14.13671875" style="1248" customWidth="1"/>
    <col min="7927" max="7931" width="9.13671875" style="1248" customWidth="1"/>
    <col min="7932" max="7932" width="8.99609375" style="1248" bestFit="1" customWidth="1"/>
    <col min="7933" max="7933" width="14.99609375" style="1248" customWidth="1"/>
    <col min="7934" max="7934" width="13.99609375" style="1248" bestFit="1" customWidth="1"/>
    <col min="7935" max="7935" width="9.13671875" style="1248" customWidth="1"/>
    <col min="7936" max="7936" width="12.7109375" style="1248" customWidth="1"/>
    <col min="7937" max="8172" width="9.13671875" style="1248" customWidth="1"/>
    <col min="8173" max="8173" width="31.56640625" style="1248" customWidth="1"/>
    <col min="8174" max="8176" width="9.13671875" style="1248" customWidth="1"/>
    <col min="8177" max="8177" width="42.99609375" style="1248" customWidth="1"/>
    <col min="8178" max="8179" width="4.13671875" style="1248" customWidth="1"/>
    <col min="8180" max="8180" width="15.8515625" style="1248" customWidth="1"/>
    <col min="8181" max="8181" width="14.56640625" style="1248" customWidth="1"/>
    <col min="8182" max="8182" width="14.13671875" style="1248" customWidth="1"/>
    <col min="8183" max="8187" width="9.13671875" style="1248" customWidth="1"/>
    <col min="8188" max="8188" width="8.99609375" style="1248" bestFit="1" customWidth="1"/>
    <col min="8189" max="8189" width="14.99609375" style="1248" customWidth="1"/>
    <col min="8190" max="8190" width="13.99609375" style="1248" bestFit="1" customWidth="1"/>
    <col min="8191" max="8191" width="9.13671875" style="1248" customWidth="1"/>
    <col min="8192" max="8192" width="12.7109375" style="1248" customWidth="1"/>
    <col min="8193" max="8428" width="9.13671875" style="1248" customWidth="1"/>
    <col min="8429" max="8429" width="31.56640625" style="1248" customWidth="1"/>
    <col min="8430" max="8432" width="9.13671875" style="1248" customWidth="1"/>
    <col min="8433" max="8433" width="42.99609375" style="1248" customWidth="1"/>
    <col min="8434" max="8435" width="4.13671875" style="1248" customWidth="1"/>
    <col min="8436" max="8436" width="15.8515625" style="1248" customWidth="1"/>
    <col min="8437" max="8437" width="14.56640625" style="1248" customWidth="1"/>
    <col min="8438" max="8438" width="14.13671875" style="1248" customWidth="1"/>
    <col min="8439" max="8443" width="9.13671875" style="1248" customWidth="1"/>
    <col min="8444" max="8444" width="8.99609375" style="1248" bestFit="1" customWidth="1"/>
    <col min="8445" max="8445" width="14.99609375" style="1248" customWidth="1"/>
    <col min="8446" max="8446" width="13.99609375" style="1248" bestFit="1" customWidth="1"/>
    <col min="8447" max="8447" width="9.13671875" style="1248" customWidth="1"/>
    <col min="8448" max="8448" width="12.7109375" style="1248" customWidth="1"/>
    <col min="8449" max="8684" width="9.13671875" style="1248" customWidth="1"/>
    <col min="8685" max="8685" width="31.56640625" style="1248" customWidth="1"/>
    <col min="8686" max="8688" width="9.13671875" style="1248" customWidth="1"/>
    <col min="8689" max="8689" width="42.99609375" style="1248" customWidth="1"/>
    <col min="8690" max="8691" width="4.13671875" style="1248" customWidth="1"/>
    <col min="8692" max="8692" width="15.8515625" style="1248" customWidth="1"/>
    <col min="8693" max="8693" width="14.56640625" style="1248" customWidth="1"/>
    <col min="8694" max="8694" width="14.13671875" style="1248" customWidth="1"/>
    <col min="8695" max="8699" width="9.13671875" style="1248" customWidth="1"/>
    <col min="8700" max="8700" width="8.99609375" style="1248" bestFit="1" customWidth="1"/>
    <col min="8701" max="8701" width="14.99609375" style="1248" customWidth="1"/>
    <col min="8702" max="8702" width="13.99609375" style="1248" bestFit="1" customWidth="1"/>
    <col min="8703" max="8703" width="9.13671875" style="1248" customWidth="1"/>
    <col min="8704" max="8704" width="12.7109375" style="1248" customWidth="1"/>
    <col min="8705" max="8940" width="9.13671875" style="1248" customWidth="1"/>
    <col min="8941" max="8941" width="31.56640625" style="1248" customWidth="1"/>
    <col min="8942" max="8944" width="9.13671875" style="1248" customWidth="1"/>
    <col min="8945" max="8945" width="42.99609375" style="1248" customWidth="1"/>
    <col min="8946" max="8947" width="4.13671875" style="1248" customWidth="1"/>
    <col min="8948" max="8948" width="15.8515625" style="1248" customWidth="1"/>
    <col min="8949" max="8949" width="14.56640625" style="1248" customWidth="1"/>
    <col min="8950" max="8950" width="14.13671875" style="1248" customWidth="1"/>
    <col min="8951" max="8955" width="9.13671875" style="1248" customWidth="1"/>
    <col min="8956" max="8956" width="8.99609375" style="1248" bestFit="1" customWidth="1"/>
    <col min="8957" max="8957" width="14.99609375" style="1248" customWidth="1"/>
    <col min="8958" max="8958" width="13.99609375" style="1248" bestFit="1" customWidth="1"/>
    <col min="8959" max="8959" width="9.13671875" style="1248" customWidth="1"/>
    <col min="8960" max="8960" width="12.7109375" style="1248" customWidth="1"/>
    <col min="8961" max="9196" width="9.13671875" style="1248" customWidth="1"/>
    <col min="9197" max="9197" width="31.56640625" style="1248" customWidth="1"/>
    <col min="9198" max="9200" width="9.13671875" style="1248" customWidth="1"/>
    <col min="9201" max="9201" width="42.99609375" style="1248" customWidth="1"/>
    <col min="9202" max="9203" width="4.13671875" style="1248" customWidth="1"/>
    <col min="9204" max="9204" width="15.8515625" style="1248" customWidth="1"/>
    <col min="9205" max="9205" width="14.56640625" style="1248" customWidth="1"/>
    <col min="9206" max="9206" width="14.13671875" style="1248" customWidth="1"/>
    <col min="9207" max="9211" width="9.13671875" style="1248" customWidth="1"/>
    <col min="9212" max="9212" width="8.99609375" style="1248" bestFit="1" customWidth="1"/>
    <col min="9213" max="9213" width="14.99609375" style="1248" customWidth="1"/>
    <col min="9214" max="9214" width="13.99609375" style="1248" bestFit="1" customWidth="1"/>
    <col min="9215" max="9215" width="9.13671875" style="1248" customWidth="1"/>
    <col min="9216" max="9216" width="12.7109375" style="1248" customWidth="1"/>
    <col min="9217" max="9452" width="9.13671875" style="1248" customWidth="1"/>
    <col min="9453" max="9453" width="31.56640625" style="1248" customWidth="1"/>
    <col min="9454" max="9456" width="9.13671875" style="1248" customWidth="1"/>
    <col min="9457" max="9457" width="42.99609375" style="1248" customWidth="1"/>
    <col min="9458" max="9459" width="4.13671875" style="1248" customWidth="1"/>
    <col min="9460" max="9460" width="15.8515625" style="1248" customWidth="1"/>
    <col min="9461" max="9461" width="14.56640625" style="1248" customWidth="1"/>
    <col min="9462" max="9462" width="14.13671875" style="1248" customWidth="1"/>
    <col min="9463" max="9467" width="9.13671875" style="1248" customWidth="1"/>
    <col min="9468" max="9468" width="8.99609375" style="1248" bestFit="1" customWidth="1"/>
    <col min="9469" max="9469" width="14.99609375" style="1248" customWidth="1"/>
    <col min="9470" max="9470" width="13.99609375" style="1248" bestFit="1" customWidth="1"/>
    <col min="9471" max="9471" width="9.13671875" style="1248" customWidth="1"/>
    <col min="9472" max="9472" width="12.7109375" style="1248" customWidth="1"/>
    <col min="9473" max="9708" width="9.13671875" style="1248" customWidth="1"/>
    <col min="9709" max="9709" width="31.56640625" style="1248" customWidth="1"/>
    <col min="9710" max="9712" width="9.13671875" style="1248" customWidth="1"/>
    <col min="9713" max="9713" width="42.99609375" style="1248" customWidth="1"/>
    <col min="9714" max="9715" width="4.13671875" style="1248" customWidth="1"/>
    <col min="9716" max="9716" width="15.8515625" style="1248" customWidth="1"/>
    <col min="9717" max="9717" width="14.56640625" style="1248" customWidth="1"/>
    <col min="9718" max="9718" width="14.13671875" style="1248" customWidth="1"/>
    <col min="9719" max="9723" width="9.13671875" style="1248" customWidth="1"/>
    <col min="9724" max="9724" width="8.99609375" style="1248" bestFit="1" customWidth="1"/>
    <col min="9725" max="9725" width="14.99609375" style="1248" customWidth="1"/>
    <col min="9726" max="9726" width="13.99609375" style="1248" bestFit="1" customWidth="1"/>
    <col min="9727" max="9727" width="9.13671875" style="1248" customWidth="1"/>
    <col min="9728" max="9728" width="12.7109375" style="1248" customWidth="1"/>
    <col min="9729" max="9964" width="9.13671875" style="1248" customWidth="1"/>
    <col min="9965" max="9965" width="31.56640625" style="1248" customWidth="1"/>
    <col min="9966" max="9968" width="9.13671875" style="1248" customWidth="1"/>
    <col min="9969" max="9969" width="42.99609375" style="1248" customWidth="1"/>
    <col min="9970" max="9971" width="4.13671875" style="1248" customWidth="1"/>
    <col min="9972" max="9972" width="15.8515625" style="1248" customWidth="1"/>
    <col min="9973" max="9973" width="14.56640625" style="1248" customWidth="1"/>
    <col min="9974" max="9974" width="14.13671875" style="1248" customWidth="1"/>
    <col min="9975" max="9979" width="9.13671875" style="1248" customWidth="1"/>
    <col min="9980" max="9980" width="8.99609375" style="1248" bestFit="1" customWidth="1"/>
    <col min="9981" max="9981" width="14.99609375" style="1248" customWidth="1"/>
    <col min="9982" max="9982" width="13.99609375" style="1248" bestFit="1" customWidth="1"/>
    <col min="9983" max="9983" width="9.13671875" style="1248" customWidth="1"/>
    <col min="9984" max="9984" width="12.7109375" style="1248" customWidth="1"/>
    <col min="9985" max="10220" width="9.13671875" style="1248" customWidth="1"/>
    <col min="10221" max="10221" width="31.56640625" style="1248" customWidth="1"/>
    <col min="10222" max="10224" width="9.13671875" style="1248" customWidth="1"/>
    <col min="10225" max="10225" width="42.99609375" style="1248" customWidth="1"/>
    <col min="10226" max="10227" width="4.13671875" style="1248" customWidth="1"/>
    <col min="10228" max="10228" width="15.8515625" style="1248" customWidth="1"/>
    <col min="10229" max="10229" width="14.56640625" style="1248" customWidth="1"/>
    <col min="10230" max="10230" width="14.13671875" style="1248" customWidth="1"/>
    <col min="10231" max="10235" width="9.13671875" style="1248" customWidth="1"/>
    <col min="10236" max="10236" width="8.99609375" style="1248" bestFit="1" customWidth="1"/>
    <col min="10237" max="10237" width="14.99609375" style="1248" customWidth="1"/>
    <col min="10238" max="10238" width="13.99609375" style="1248" bestFit="1" customWidth="1"/>
    <col min="10239" max="10239" width="9.13671875" style="1248" customWidth="1"/>
    <col min="10240" max="10240" width="12.7109375" style="1248" customWidth="1"/>
    <col min="10241" max="10476" width="9.13671875" style="1248" customWidth="1"/>
    <col min="10477" max="10477" width="31.56640625" style="1248" customWidth="1"/>
    <col min="10478" max="10480" width="9.13671875" style="1248" customWidth="1"/>
    <col min="10481" max="10481" width="42.99609375" style="1248" customWidth="1"/>
    <col min="10482" max="10483" width="4.13671875" style="1248" customWidth="1"/>
    <col min="10484" max="10484" width="15.8515625" style="1248" customWidth="1"/>
    <col min="10485" max="10485" width="14.56640625" style="1248" customWidth="1"/>
    <col min="10486" max="10486" width="14.13671875" style="1248" customWidth="1"/>
    <col min="10487" max="10491" width="9.13671875" style="1248" customWidth="1"/>
    <col min="10492" max="10492" width="8.99609375" style="1248" bestFit="1" customWidth="1"/>
    <col min="10493" max="10493" width="14.99609375" style="1248" customWidth="1"/>
    <col min="10494" max="10494" width="13.99609375" style="1248" bestFit="1" customWidth="1"/>
    <col min="10495" max="10495" width="9.13671875" style="1248" customWidth="1"/>
    <col min="10496" max="10496" width="12.7109375" style="1248" customWidth="1"/>
    <col min="10497" max="10732" width="9.13671875" style="1248" customWidth="1"/>
    <col min="10733" max="10733" width="31.56640625" style="1248" customWidth="1"/>
    <col min="10734" max="10736" width="9.13671875" style="1248" customWidth="1"/>
    <col min="10737" max="10737" width="42.99609375" style="1248" customWidth="1"/>
    <col min="10738" max="10739" width="4.13671875" style="1248" customWidth="1"/>
    <col min="10740" max="10740" width="15.8515625" style="1248" customWidth="1"/>
    <col min="10741" max="10741" width="14.56640625" style="1248" customWidth="1"/>
    <col min="10742" max="10742" width="14.13671875" style="1248" customWidth="1"/>
    <col min="10743" max="10747" width="9.13671875" style="1248" customWidth="1"/>
    <col min="10748" max="10748" width="8.99609375" style="1248" bestFit="1" customWidth="1"/>
    <col min="10749" max="10749" width="14.99609375" style="1248" customWidth="1"/>
    <col min="10750" max="10750" width="13.99609375" style="1248" bestFit="1" customWidth="1"/>
    <col min="10751" max="10751" width="9.13671875" style="1248" customWidth="1"/>
    <col min="10752" max="10752" width="12.7109375" style="1248" customWidth="1"/>
    <col min="10753" max="10988" width="9.13671875" style="1248" customWidth="1"/>
    <col min="10989" max="10989" width="31.56640625" style="1248" customWidth="1"/>
    <col min="10990" max="10992" width="9.13671875" style="1248" customWidth="1"/>
    <col min="10993" max="10993" width="42.99609375" style="1248" customWidth="1"/>
    <col min="10994" max="10995" width="4.13671875" style="1248" customWidth="1"/>
    <col min="10996" max="10996" width="15.8515625" style="1248" customWidth="1"/>
    <col min="10997" max="10997" width="14.56640625" style="1248" customWidth="1"/>
    <col min="10998" max="10998" width="14.13671875" style="1248" customWidth="1"/>
    <col min="10999" max="11003" width="9.13671875" style="1248" customWidth="1"/>
    <col min="11004" max="11004" width="8.99609375" style="1248" bestFit="1" customWidth="1"/>
    <col min="11005" max="11005" width="14.99609375" style="1248" customWidth="1"/>
    <col min="11006" max="11006" width="13.99609375" style="1248" bestFit="1" customWidth="1"/>
    <col min="11007" max="11007" width="9.13671875" style="1248" customWidth="1"/>
    <col min="11008" max="11008" width="12.7109375" style="1248" customWidth="1"/>
    <col min="11009" max="11244" width="9.13671875" style="1248" customWidth="1"/>
    <col min="11245" max="11245" width="31.56640625" style="1248" customWidth="1"/>
    <col min="11246" max="11248" width="9.13671875" style="1248" customWidth="1"/>
    <col min="11249" max="11249" width="42.99609375" style="1248" customWidth="1"/>
    <col min="11250" max="11251" width="4.13671875" style="1248" customWidth="1"/>
    <col min="11252" max="11252" width="15.8515625" style="1248" customWidth="1"/>
    <col min="11253" max="11253" width="14.56640625" style="1248" customWidth="1"/>
    <col min="11254" max="11254" width="14.13671875" style="1248" customWidth="1"/>
    <col min="11255" max="11259" width="9.13671875" style="1248" customWidth="1"/>
    <col min="11260" max="11260" width="8.99609375" style="1248" bestFit="1" customWidth="1"/>
    <col min="11261" max="11261" width="14.99609375" style="1248" customWidth="1"/>
    <col min="11262" max="11262" width="13.99609375" style="1248" bestFit="1" customWidth="1"/>
    <col min="11263" max="11263" width="9.13671875" style="1248" customWidth="1"/>
    <col min="11264" max="11264" width="12.7109375" style="1248" customWidth="1"/>
    <col min="11265" max="11500" width="9.13671875" style="1248" customWidth="1"/>
    <col min="11501" max="11501" width="31.56640625" style="1248" customWidth="1"/>
    <col min="11502" max="11504" width="9.13671875" style="1248" customWidth="1"/>
    <col min="11505" max="11505" width="42.99609375" style="1248" customWidth="1"/>
    <col min="11506" max="11507" width="4.13671875" style="1248" customWidth="1"/>
    <col min="11508" max="11508" width="15.8515625" style="1248" customWidth="1"/>
    <col min="11509" max="11509" width="14.56640625" style="1248" customWidth="1"/>
    <col min="11510" max="11510" width="14.13671875" style="1248" customWidth="1"/>
    <col min="11511" max="11515" width="9.13671875" style="1248" customWidth="1"/>
    <col min="11516" max="11516" width="8.99609375" style="1248" bestFit="1" customWidth="1"/>
    <col min="11517" max="11517" width="14.99609375" style="1248" customWidth="1"/>
    <col min="11518" max="11518" width="13.99609375" style="1248" bestFit="1" customWidth="1"/>
    <col min="11519" max="11519" width="9.13671875" style="1248" customWidth="1"/>
    <col min="11520" max="11520" width="12.7109375" style="1248" customWidth="1"/>
    <col min="11521" max="11756" width="9.13671875" style="1248" customWidth="1"/>
    <col min="11757" max="11757" width="31.56640625" style="1248" customWidth="1"/>
    <col min="11758" max="11760" width="9.13671875" style="1248" customWidth="1"/>
    <col min="11761" max="11761" width="42.99609375" style="1248" customWidth="1"/>
    <col min="11762" max="11763" width="4.13671875" style="1248" customWidth="1"/>
    <col min="11764" max="11764" width="15.8515625" style="1248" customWidth="1"/>
    <col min="11765" max="11765" width="14.56640625" style="1248" customWidth="1"/>
    <col min="11766" max="11766" width="14.13671875" style="1248" customWidth="1"/>
    <col min="11767" max="11771" width="9.13671875" style="1248" customWidth="1"/>
    <col min="11772" max="11772" width="8.99609375" style="1248" bestFit="1" customWidth="1"/>
    <col min="11773" max="11773" width="14.99609375" style="1248" customWidth="1"/>
    <col min="11774" max="11774" width="13.99609375" style="1248" bestFit="1" customWidth="1"/>
    <col min="11775" max="11775" width="9.13671875" style="1248" customWidth="1"/>
    <col min="11776" max="11776" width="12.7109375" style="1248" customWidth="1"/>
    <col min="11777" max="12012" width="9.13671875" style="1248" customWidth="1"/>
    <col min="12013" max="12013" width="31.56640625" style="1248" customWidth="1"/>
    <col min="12014" max="12016" width="9.13671875" style="1248" customWidth="1"/>
    <col min="12017" max="12017" width="42.99609375" style="1248" customWidth="1"/>
    <col min="12018" max="12019" width="4.13671875" style="1248" customWidth="1"/>
    <col min="12020" max="12020" width="15.8515625" style="1248" customWidth="1"/>
    <col min="12021" max="12021" width="14.56640625" style="1248" customWidth="1"/>
    <col min="12022" max="12022" width="14.13671875" style="1248" customWidth="1"/>
    <col min="12023" max="12027" width="9.13671875" style="1248" customWidth="1"/>
    <col min="12028" max="12028" width="8.99609375" style="1248" bestFit="1" customWidth="1"/>
    <col min="12029" max="12029" width="14.99609375" style="1248" customWidth="1"/>
    <col min="12030" max="12030" width="13.99609375" style="1248" bestFit="1" customWidth="1"/>
    <col min="12031" max="12031" width="9.13671875" style="1248" customWidth="1"/>
    <col min="12032" max="12032" width="12.7109375" style="1248" customWidth="1"/>
    <col min="12033" max="12268" width="9.13671875" style="1248" customWidth="1"/>
    <col min="12269" max="12269" width="31.56640625" style="1248" customWidth="1"/>
    <col min="12270" max="12272" width="9.13671875" style="1248" customWidth="1"/>
    <col min="12273" max="12273" width="42.99609375" style="1248" customWidth="1"/>
    <col min="12274" max="12275" width="4.13671875" style="1248" customWidth="1"/>
    <col min="12276" max="12276" width="15.8515625" style="1248" customWidth="1"/>
    <col min="12277" max="12277" width="14.56640625" style="1248" customWidth="1"/>
    <col min="12278" max="12278" width="14.13671875" style="1248" customWidth="1"/>
    <col min="12279" max="12283" width="9.13671875" style="1248" customWidth="1"/>
    <col min="12284" max="12284" width="8.99609375" style="1248" bestFit="1" customWidth="1"/>
    <col min="12285" max="12285" width="14.99609375" style="1248" customWidth="1"/>
    <col min="12286" max="12286" width="13.99609375" style="1248" bestFit="1" customWidth="1"/>
    <col min="12287" max="12287" width="9.13671875" style="1248" customWidth="1"/>
    <col min="12288" max="12288" width="12.7109375" style="1248" customWidth="1"/>
    <col min="12289" max="12524" width="9.13671875" style="1248" customWidth="1"/>
    <col min="12525" max="12525" width="31.56640625" style="1248" customWidth="1"/>
    <col min="12526" max="12528" width="9.13671875" style="1248" customWidth="1"/>
    <col min="12529" max="12529" width="42.99609375" style="1248" customWidth="1"/>
    <col min="12530" max="12531" width="4.13671875" style="1248" customWidth="1"/>
    <col min="12532" max="12532" width="15.8515625" style="1248" customWidth="1"/>
    <col min="12533" max="12533" width="14.56640625" style="1248" customWidth="1"/>
    <col min="12534" max="12534" width="14.13671875" style="1248" customWidth="1"/>
    <col min="12535" max="12539" width="9.13671875" style="1248" customWidth="1"/>
    <col min="12540" max="12540" width="8.99609375" style="1248" bestFit="1" customWidth="1"/>
    <col min="12541" max="12541" width="14.99609375" style="1248" customWidth="1"/>
    <col min="12542" max="12542" width="13.99609375" style="1248" bestFit="1" customWidth="1"/>
    <col min="12543" max="12543" width="9.13671875" style="1248" customWidth="1"/>
    <col min="12544" max="12544" width="12.7109375" style="1248" customWidth="1"/>
    <col min="12545" max="12780" width="9.13671875" style="1248" customWidth="1"/>
    <col min="12781" max="12781" width="31.56640625" style="1248" customWidth="1"/>
    <col min="12782" max="12784" width="9.13671875" style="1248" customWidth="1"/>
    <col min="12785" max="12785" width="42.99609375" style="1248" customWidth="1"/>
    <col min="12786" max="12787" width="4.13671875" style="1248" customWidth="1"/>
    <col min="12788" max="12788" width="15.8515625" style="1248" customWidth="1"/>
    <col min="12789" max="12789" width="14.56640625" style="1248" customWidth="1"/>
    <col min="12790" max="12790" width="14.13671875" style="1248" customWidth="1"/>
    <col min="12791" max="12795" width="9.13671875" style="1248" customWidth="1"/>
    <col min="12796" max="12796" width="8.99609375" style="1248" bestFit="1" customWidth="1"/>
    <col min="12797" max="12797" width="14.99609375" style="1248" customWidth="1"/>
    <col min="12798" max="12798" width="13.99609375" style="1248" bestFit="1" customWidth="1"/>
    <col min="12799" max="12799" width="9.13671875" style="1248" customWidth="1"/>
    <col min="12800" max="12800" width="12.7109375" style="1248" customWidth="1"/>
    <col min="12801" max="13036" width="9.13671875" style="1248" customWidth="1"/>
    <col min="13037" max="13037" width="31.56640625" style="1248" customWidth="1"/>
    <col min="13038" max="13040" width="9.13671875" style="1248" customWidth="1"/>
    <col min="13041" max="13041" width="42.99609375" style="1248" customWidth="1"/>
    <col min="13042" max="13043" width="4.13671875" style="1248" customWidth="1"/>
    <col min="13044" max="13044" width="15.8515625" style="1248" customWidth="1"/>
    <col min="13045" max="13045" width="14.56640625" style="1248" customWidth="1"/>
    <col min="13046" max="13046" width="14.13671875" style="1248" customWidth="1"/>
    <col min="13047" max="13051" width="9.13671875" style="1248" customWidth="1"/>
    <col min="13052" max="13052" width="8.99609375" style="1248" bestFit="1" customWidth="1"/>
    <col min="13053" max="13053" width="14.99609375" style="1248" customWidth="1"/>
    <col min="13054" max="13054" width="13.99609375" style="1248" bestFit="1" customWidth="1"/>
    <col min="13055" max="13055" width="9.13671875" style="1248" customWidth="1"/>
    <col min="13056" max="13056" width="12.7109375" style="1248" customWidth="1"/>
    <col min="13057" max="13292" width="9.13671875" style="1248" customWidth="1"/>
    <col min="13293" max="13293" width="31.56640625" style="1248" customWidth="1"/>
    <col min="13294" max="13296" width="9.13671875" style="1248" customWidth="1"/>
    <col min="13297" max="13297" width="42.99609375" style="1248" customWidth="1"/>
    <col min="13298" max="13299" width="4.13671875" style="1248" customWidth="1"/>
    <col min="13300" max="13300" width="15.8515625" style="1248" customWidth="1"/>
    <col min="13301" max="13301" width="14.56640625" style="1248" customWidth="1"/>
    <col min="13302" max="13302" width="14.13671875" style="1248" customWidth="1"/>
    <col min="13303" max="13307" width="9.13671875" style="1248" customWidth="1"/>
    <col min="13308" max="13308" width="8.99609375" style="1248" bestFit="1" customWidth="1"/>
    <col min="13309" max="13309" width="14.99609375" style="1248" customWidth="1"/>
    <col min="13310" max="13310" width="13.99609375" style="1248" bestFit="1" customWidth="1"/>
    <col min="13311" max="13311" width="9.13671875" style="1248" customWidth="1"/>
    <col min="13312" max="13312" width="12.7109375" style="1248" customWidth="1"/>
    <col min="13313" max="13548" width="9.13671875" style="1248" customWidth="1"/>
    <col min="13549" max="13549" width="31.56640625" style="1248" customWidth="1"/>
    <col min="13550" max="13552" width="9.13671875" style="1248" customWidth="1"/>
    <col min="13553" max="13553" width="42.99609375" style="1248" customWidth="1"/>
    <col min="13554" max="13555" width="4.13671875" style="1248" customWidth="1"/>
    <col min="13556" max="13556" width="15.8515625" style="1248" customWidth="1"/>
    <col min="13557" max="13557" width="14.56640625" style="1248" customWidth="1"/>
    <col min="13558" max="13558" width="14.13671875" style="1248" customWidth="1"/>
    <col min="13559" max="13563" width="9.13671875" style="1248" customWidth="1"/>
    <col min="13564" max="13564" width="8.99609375" style="1248" bestFit="1" customWidth="1"/>
    <col min="13565" max="13565" width="14.99609375" style="1248" customWidth="1"/>
    <col min="13566" max="13566" width="13.99609375" style="1248" bestFit="1" customWidth="1"/>
    <col min="13567" max="13567" width="9.13671875" style="1248" customWidth="1"/>
    <col min="13568" max="13568" width="12.7109375" style="1248" customWidth="1"/>
    <col min="13569" max="13804" width="9.13671875" style="1248" customWidth="1"/>
    <col min="13805" max="13805" width="31.56640625" style="1248" customWidth="1"/>
    <col min="13806" max="13808" width="9.13671875" style="1248" customWidth="1"/>
    <col min="13809" max="13809" width="42.99609375" style="1248" customWidth="1"/>
    <col min="13810" max="13811" width="4.13671875" style="1248" customWidth="1"/>
    <col min="13812" max="13812" width="15.8515625" style="1248" customWidth="1"/>
    <col min="13813" max="13813" width="14.56640625" style="1248" customWidth="1"/>
    <col min="13814" max="13814" width="14.13671875" style="1248" customWidth="1"/>
    <col min="13815" max="13819" width="9.13671875" style="1248" customWidth="1"/>
    <col min="13820" max="13820" width="8.99609375" style="1248" bestFit="1" customWidth="1"/>
    <col min="13821" max="13821" width="14.99609375" style="1248" customWidth="1"/>
    <col min="13822" max="13822" width="13.99609375" style="1248" bestFit="1" customWidth="1"/>
    <col min="13823" max="13823" width="9.13671875" style="1248" customWidth="1"/>
    <col min="13824" max="13824" width="12.7109375" style="1248" customWidth="1"/>
    <col min="13825" max="14060" width="9.13671875" style="1248" customWidth="1"/>
    <col min="14061" max="14061" width="31.56640625" style="1248" customWidth="1"/>
    <col min="14062" max="14064" width="9.13671875" style="1248" customWidth="1"/>
    <col min="14065" max="14065" width="42.99609375" style="1248" customWidth="1"/>
    <col min="14066" max="14067" width="4.13671875" style="1248" customWidth="1"/>
    <col min="14068" max="14068" width="15.8515625" style="1248" customWidth="1"/>
    <col min="14069" max="14069" width="14.56640625" style="1248" customWidth="1"/>
    <col min="14070" max="14070" width="14.13671875" style="1248" customWidth="1"/>
    <col min="14071" max="14075" width="9.13671875" style="1248" customWidth="1"/>
    <col min="14076" max="14076" width="8.99609375" style="1248" bestFit="1" customWidth="1"/>
    <col min="14077" max="14077" width="14.99609375" style="1248" customWidth="1"/>
    <col min="14078" max="14078" width="13.99609375" style="1248" bestFit="1" customWidth="1"/>
    <col min="14079" max="14079" width="9.13671875" style="1248" customWidth="1"/>
    <col min="14080" max="14080" width="12.7109375" style="1248" customWidth="1"/>
    <col min="14081" max="14316" width="9.13671875" style="1248" customWidth="1"/>
    <col min="14317" max="14317" width="31.56640625" style="1248" customWidth="1"/>
    <col min="14318" max="14320" width="9.13671875" style="1248" customWidth="1"/>
    <col min="14321" max="14321" width="42.99609375" style="1248" customWidth="1"/>
    <col min="14322" max="14323" width="4.13671875" style="1248" customWidth="1"/>
    <col min="14324" max="14324" width="15.8515625" style="1248" customWidth="1"/>
    <col min="14325" max="14325" width="14.56640625" style="1248" customWidth="1"/>
    <col min="14326" max="14326" width="14.13671875" style="1248" customWidth="1"/>
    <col min="14327" max="14331" width="9.13671875" style="1248" customWidth="1"/>
    <col min="14332" max="14332" width="8.99609375" style="1248" bestFit="1" customWidth="1"/>
    <col min="14333" max="14333" width="14.99609375" style="1248" customWidth="1"/>
    <col min="14334" max="14334" width="13.99609375" style="1248" bestFit="1" customWidth="1"/>
    <col min="14335" max="14335" width="9.13671875" style="1248" customWidth="1"/>
    <col min="14336" max="14336" width="12.7109375" style="1248" customWidth="1"/>
    <col min="14337" max="14572" width="9.13671875" style="1248" customWidth="1"/>
    <col min="14573" max="14573" width="31.56640625" style="1248" customWidth="1"/>
    <col min="14574" max="14576" width="9.13671875" style="1248" customWidth="1"/>
    <col min="14577" max="14577" width="42.99609375" style="1248" customWidth="1"/>
    <col min="14578" max="14579" width="4.13671875" style="1248" customWidth="1"/>
    <col min="14580" max="14580" width="15.8515625" style="1248" customWidth="1"/>
    <col min="14581" max="14581" width="14.56640625" style="1248" customWidth="1"/>
    <col min="14582" max="14582" width="14.13671875" style="1248" customWidth="1"/>
    <col min="14583" max="14587" width="9.13671875" style="1248" customWidth="1"/>
    <col min="14588" max="14588" width="8.99609375" style="1248" bestFit="1" customWidth="1"/>
    <col min="14589" max="14589" width="14.99609375" style="1248" customWidth="1"/>
    <col min="14590" max="14590" width="13.99609375" style="1248" bestFit="1" customWidth="1"/>
    <col min="14591" max="14591" width="9.13671875" style="1248" customWidth="1"/>
    <col min="14592" max="14592" width="12.7109375" style="1248" customWidth="1"/>
    <col min="14593" max="14828" width="9.13671875" style="1248" customWidth="1"/>
    <col min="14829" max="14829" width="31.56640625" style="1248" customWidth="1"/>
    <col min="14830" max="14832" width="9.13671875" style="1248" customWidth="1"/>
    <col min="14833" max="14833" width="42.99609375" style="1248" customWidth="1"/>
    <col min="14834" max="14835" width="4.13671875" style="1248" customWidth="1"/>
    <col min="14836" max="14836" width="15.8515625" style="1248" customWidth="1"/>
    <col min="14837" max="14837" width="14.56640625" style="1248" customWidth="1"/>
    <col min="14838" max="14838" width="14.13671875" style="1248" customWidth="1"/>
    <col min="14839" max="14843" width="9.13671875" style="1248" customWidth="1"/>
    <col min="14844" max="14844" width="8.99609375" style="1248" bestFit="1" customWidth="1"/>
    <col min="14845" max="14845" width="14.99609375" style="1248" customWidth="1"/>
    <col min="14846" max="14846" width="13.99609375" style="1248" bestFit="1" customWidth="1"/>
    <col min="14847" max="14847" width="9.13671875" style="1248" customWidth="1"/>
    <col min="14848" max="14848" width="12.7109375" style="1248" customWidth="1"/>
    <col min="14849" max="15084" width="9.13671875" style="1248" customWidth="1"/>
    <col min="15085" max="15085" width="31.56640625" style="1248" customWidth="1"/>
    <col min="15086" max="15088" width="9.13671875" style="1248" customWidth="1"/>
    <col min="15089" max="15089" width="42.99609375" style="1248" customWidth="1"/>
    <col min="15090" max="15091" width="4.13671875" style="1248" customWidth="1"/>
    <col min="15092" max="15092" width="15.8515625" style="1248" customWidth="1"/>
    <col min="15093" max="15093" width="14.56640625" style="1248" customWidth="1"/>
    <col min="15094" max="15094" width="14.13671875" style="1248" customWidth="1"/>
    <col min="15095" max="15099" width="9.13671875" style="1248" customWidth="1"/>
    <col min="15100" max="15100" width="8.99609375" style="1248" bestFit="1" customWidth="1"/>
    <col min="15101" max="15101" width="14.99609375" style="1248" customWidth="1"/>
    <col min="15102" max="15102" width="13.99609375" style="1248" bestFit="1" customWidth="1"/>
    <col min="15103" max="15103" width="9.13671875" style="1248" customWidth="1"/>
    <col min="15104" max="15104" width="12.7109375" style="1248" customWidth="1"/>
    <col min="15105" max="15340" width="9.13671875" style="1248" customWidth="1"/>
    <col min="15341" max="15341" width="31.56640625" style="1248" customWidth="1"/>
    <col min="15342" max="15344" width="9.13671875" style="1248" customWidth="1"/>
    <col min="15345" max="15345" width="42.99609375" style="1248" customWidth="1"/>
    <col min="15346" max="15347" width="4.13671875" style="1248" customWidth="1"/>
    <col min="15348" max="15348" width="15.8515625" style="1248" customWidth="1"/>
    <col min="15349" max="15349" width="14.56640625" style="1248" customWidth="1"/>
    <col min="15350" max="15350" width="14.13671875" style="1248" customWidth="1"/>
    <col min="15351" max="15355" width="9.13671875" style="1248" customWidth="1"/>
    <col min="15356" max="15356" width="8.99609375" style="1248" bestFit="1" customWidth="1"/>
    <col min="15357" max="15357" width="14.99609375" style="1248" customWidth="1"/>
    <col min="15358" max="15358" width="13.99609375" style="1248" bestFit="1" customWidth="1"/>
    <col min="15359" max="15359" width="9.13671875" style="1248" customWidth="1"/>
    <col min="15360" max="15360" width="12.7109375" style="1248" customWidth="1"/>
    <col min="15361" max="15596" width="9.13671875" style="1248" customWidth="1"/>
    <col min="15597" max="15597" width="31.56640625" style="1248" customWidth="1"/>
    <col min="15598" max="15600" width="9.13671875" style="1248" customWidth="1"/>
    <col min="15601" max="15601" width="42.99609375" style="1248" customWidth="1"/>
    <col min="15602" max="15603" width="4.13671875" style="1248" customWidth="1"/>
    <col min="15604" max="15604" width="15.8515625" style="1248" customWidth="1"/>
    <col min="15605" max="15605" width="14.56640625" style="1248" customWidth="1"/>
    <col min="15606" max="15606" width="14.13671875" style="1248" customWidth="1"/>
    <col min="15607" max="15611" width="9.13671875" style="1248" customWidth="1"/>
    <col min="15612" max="15612" width="8.99609375" style="1248" bestFit="1" customWidth="1"/>
    <col min="15613" max="15613" width="14.99609375" style="1248" customWidth="1"/>
    <col min="15614" max="15614" width="13.99609375" style="1248" bestFit="1" customWidth="1"/>
    <col min="15615" max="15615" width="9.13671875" style="1248" customWidth="1"/>
    <col min="15616" max="15616" width="12.7109375" style="1248" customWidth="1"/>
    <col min="15617" max="15852" width="9.13671875" style="1248" customWidth="1"/>
    <col min="15853" max="15853" width="31.56640625" style="1248" customWidth="1"/>
    <col min="15854" max="15856" width="9.13671875" style="1248" customWidth="1"/>
    <col min="15857" max="15857" width="42.99609375" style="1248" customWidth="1"/>
    <col min="15858" max="15859" width="4.13671875" style="1248" customWidth="1"/>
    <col min="15860" max="15860" width="15.8515625" style="1248" customWidth="1"/>
    <col min="15861" max="15861" width="14.56640625" style="1248" customWidth="1"/>
    <col min="15862" max="15862" width="14.13671875" style="1248" customWidth="1"/>
    <col min="15863" max="15867" width="9.13671875" style="1248" customWidth="1"/>
    <col min="15868" max="15868" width="8.99609375" style="1248" bestFit="1" customWidth="1"/>
    <col min="15869" max="15869" width="14.99609375" style="1248" customWidth="1"/>
    <col min="15870" max="15870" width="13.99609375" style="1248" bestFit="1" customWidth="1"/>
    <col min="15871" max="15871" width="9.13671875" style="1248" customWidth="1"/>
    <col min="15872" max="15872" width="12.7109375" style="1248" customWidth="1"/>
    <col min="15873" max="16108" width="9.13671875" style="1248" customWidth="1"/>
    <col min="16109" max="16109" width="31.56640625" style="1248" customWidth="1"/>
    <col min="16110" max="16112" width="9.13671875" style="1248" customWidth="1"/>
    <col min="16113" max="16113" width="42.99609375" style="1248" customWidth="1"/>
    <col min="16114" max="16115" width="4.13671875" style="1248" customWidth="1"/>
    <col min="16116" max="16116" width="15.8515625" style="1248" customWidth="1"/>
    <col min="16117" max="16117" width="14.56640625" style="1248" customWidth="1"/>
    <col min="16118" max="16118" width="14.13671875" style="1248" customWidth="1"/>
    <col min="16119" max="16123" width="9.13671875" style="1248" customWidth="1"/>
    <col min="16124" max="16124" width="8.99609375" style="1248" bestFit="1" customWidth="1"/>
    <col min="16125" max="16125" width="14.99609375" style="1248" customWidth="1"/>
    <col min="16126" max="16126" width="13.99609375" style="1248" bestFit="1" customWidth="1"/>
    <col min="16127" max="16127" width="9.13671875" style="1248" customWidth="1"/>
    <col min="16128" max="16128" width="12.7109375" style="1248" customWidth="1"/>
    <col min="16129" max="16364" width="9.13671875" style="1248" customWidth="1"/>
    <col min="16365" max="16365" width="31.56640625" style="1248" customWidth="1"/>
    <col min="16366" max="16368" width="9.13671875" style="1248" customWidth="1"/>
    <col min="16369" max="16384" width="42.99609375" style="1248" customWidth="1"/>
  </cols>
  <sheetData>
    <row r="1" spans="1:4" ht="18">
      <c r="A1" s="970" t="s">
        <v>511</v>
      </c>
      <c r="B1" s="970"/>
      <c r="C1" s="971"/>
      <c r="D1" s="972"/>
    </row>
    <row r="2" spans="1:3" ht="18">
      <c r="A2" s="973"/>
      <c r="B2" s="973"/>
      <c r="C2" s="971"/>
    </row>
    <row r="3" spans="1:6">
      <c r="A3" s="1249" t="s">
        <v>184</v>
      </c>
      <c r="B3" s="1249"/>
      <c r="C3" s="1249"/>
      <c r="D3" s="975" t="s">
        <v>509</v>
      </c>
      <c r="E3" s="360" t="s">
        <v>510</v>
      </c>
      <c r="F3" s="1249"/>
    </row>
    <row r="4" spans="3:6">
      <c r="C4" s="971"/>
      <c r="F4" s="1249"/>
    </row>
    <row r="5" spans="1:6">
      <c r="A5" s="1247" t="s">
        <v>514</v>
      </c>
      <c r="B5" s="1247"/>
      <c r="F5" s="1249"/>
    </row>
    <row r="6" spans="1:6" ht="14.15" customHeight="1" hidden="1">
      <c r="A6" s="1247"/>
      <c r="B6" s="1247" t="s">
        <v>515</v>
      </c>
      <c r="D6" s="974"/>
      <c r="E6" s="895"/>
      <c r="F6" s="1249"/>
    </row>
    <row r="7" spans="3:6" ht="14.15" customHeight="1" hidden="1">
      <c r="C7" s="891">
        <v>40544</v>
      </c>
      <c r="D7" s="974">
        <v>107.9</v>
      </c>
      <c r="E7" s="895">
        <v>9044</v>
      </c>
      <c r="F7" s="1249"/>
    </row>
    <row r="8" spans="3:6" ht="14.15" customHeight="1" hidden="1">
      <c r="C8" s="891">
        <v>40545</v>
      </c>
      <c r="D8" s="974">
        <v>107.9</v>
      </c>
      <c r="E8" s="895">
        <v>9044</v>
      </c>
      <c r="F8" s="1249"/>
    </row>
    <row r="9" spans="3:6" ht="14.15" customHeight="1" hidden="1">
      <c r="C9" s="891">
        <v>40546</v>
      </c>
      <c r="D9" s="974">
        <v>109.81</v>
      </c>
      <c r="E9" s="895">
        <v>9008</v>
      </c>
      <c r="F9" s="1249"/>
    </row>
    <row r="10" spans="3:6" ht="14.15" customHeight="1" hidden="1">
      <c r="C10" s="891">
        <v>40547</v>
      </c>
      <c r="D10" s="974">
        <v>109.81</v>
      </c>
      <c r="E10" s="895">
        <v>9008</v>
      </c>
      <c r="F10" s="1249"/>
    </row>
    <row r="11" spans="3:6" ht="14.15" customHeight="1" hidden="1">
      <c r="C11" s="891">
        <v>40548</v>
      </c>
      <c r="D11" s="974">
        <v>109.81</v>
      </c>
      <c r="E11" s="895">
        <v>9008</v>
      </c>
      <c r="F11" s="1249"/>
    </row>
    <row r="12" spans="3:6" ht="14.15" customHeight="1" hidden="1">
      <c r="C12" s="891">
        <v>40549</v>
      </c>
      <c r="D12" s="974">
        <v>109.81</v>
      </c>
      <c r="E12" s="895">
        <v>9008</v>
      </c>
      <c r="F12" s="1249"/>
    </row>
    <row r="13" spans="3:6" ht="14.15" customHeight="1" hidden="1">
      <c r="C13" s="891">
        <v>40550</v>
      </c>
      <c r="D13" s="974">
        <v>109.81</v>
      </c>
      <c r="E13" s="895">
        <v>9008</v>
      </c>
      <c r="F13" s="1249"/>
    </row>
    <row r="14" spans="3:6" ht="14.15" customHeight="1" hidden="1">
      <c r="C14" s="891">
        <v>40551</v>
      </c>
      <c r="D14" s="974">
        <v>109.81</v>
      </c>
      <c r="E14" s="895">
        <v>9008</v>
      </c>
      <c r="F14" s="1249"/>
    </row>
    <row r="15" spans="3:6" ht="14.15" customHeight="1" hidden="1">
      <c r="C15" s="891">
        <v>40552</v>
      </c>
      <c r="D15" s="974">
        <v>109.81</v>
      </c>
      <c r="E15" s="895">
        <v>9008</v>
      </c>
      <c r="F15" s="1249"/>
    </row>
    <row r="16" spans="3:6" ht="14.15" customHeight="1" hidden="1">
      <c r="C16" s="891">
        <v>40553</v>
      </c>
      <c r="D16" s="974">
        <v>108.68</v>
      </c>
      <c r="E16" s="895">
        <v>8992</v>
      </c>
      <c r="F16" s="1249"/>
    </row>
    <row r="17" spans="3:6" ht="14.15" customHeight="1" hidden="1">
      <c r="C17" s="891">
        <v>40554</v>
      </c>
      <c r="D17" s="974">
        <v>108.68</v>
      </c>
      <c r="E17" s="895">
        <v>8992</v>
      </c>
      <c r="F17" s="1249"/>
    </row>
    <row r="18" spans="3:6" ht="14.15" customHeight="1" hidden="1">
      <c r="C18" s="891">
        <v>40555</v>
      </c>
      <c r="D18" s="974">
        <v>108.68</v>
      </c>
      <c r="E18" s="895">
        <v>8992</v>
      </c>
      <c r="F18" s="1249"/>
    </row>
    <row r="19" spans="3:6" ht="14.15" customHeight="1" hidden="1">
      <c r="C19" s="891">
        <v>40556</v>
      </c>
      <c r="D19" s="974">
        <v>108.68</v>
      </c>
      <c r="E19" s="895">
        <v>8992</v>
      </c>
      <c r="F19" s="1249"/>
    </row>
    <row r="20" spans="3:6" ht="14.15" customHeight="1" hidden="1">
      <c r="C20" s="891">
        <v>40557</v>
      </c>
      <c r="D20" s="974">
        <v>108.68</v>
      </c>
      <c r="E20" s="895">
        <v>8992</v>
      </c>
      <c r="F20" s="1249"/>
    </row>
    <row r="21" spans="3:6" ht="14.15" customHeight="1" hidden="1">
      <c r="C21" s="891">
        <v>40558</v>
      </c>
      <c r="D21" s="974">
        <v>108.68</v>
      </c>
      <c r="E21" s="895">
        <v>8992</v>
      </c>
      <c r="F21" s="1249"/>
    </row>
    <row r="22" spans="3:6" ht="14.15" customHeight="1" hidden="1">
      <c r="C22" s="891">
        <v>40559</v>
      </c>
      <c r="D22" s="974">
        <v>108.68</v>
      </c>
      <c r="E22" s="895">
        <v>8992</v>
      </c>
      <c r="F22" s="1249"/>
    </row>
    <row r="23" spans="3:6" ht="14.15" customHeight="1" hidden="1">
      <c r="C23" s="891">
        <v>40560</v>
      </c>
      <c r="D23" s="974">
        <v>109.33</v>
      </c>
      <c r="E23" s="895">
        <v>9068</v>
      </c>
      <c r="F23" s="1249"/>
    </row>
    <row r="24" spans="3:6" ht="14.15" customHeight="1" hidden="1">
      <c r="C24" s="891">
        <v>40561</v>
      </c>
      <c r="D24" s="974">
        <v>109.33</v>
      </c>
      <c r="E24" s="895">
        <v>9068</v>
      </c>
      <c r="F24" s="1249"/>
    </row>
    <row r="25" spans="3:6" ht="14.15" customHeight="1" hidden="1">
      <c r="C25" s="891">
        <v>40562</v>
      </c>
      <c r="D25" s="974">
        <v>109.33</v>
      </c>
      <c r="E25" s="895">
        <v>9068</v>
      </c>
      <c r="F25" s="1249"/>
    </row>
    <row r="26" spans="3:6" ht="14.15" customHeight="1" hidden="1">
      <c r="C26" s="891">
        <v>40563</v>
      </c>
      <c r="D26" s="974">
        <v>109.33</v>
      </c>
      <c r="E26" s="895">
        <v>9068</v>
      </c>
      <c r="F26" s="1249"/>
    </row>
    <row r="27" spans="3:6" ht="14.15" customHeight="1" hidden="1">
      <c r="C27" s="891">
        <v>40564</v>
      </c>
      <c r="D27" s="974">
        <v>109.33</v>
      </c>
      <c r="E27" s="895">
        <v>9068</v>
      </c>
      <c r="F27" s="1249"/>
    </row>
    <row r="28" spans="3:6" ht="14.15" customHeight="1" hidden="1">
      <c r="C28" s="891">
        <v>40565</v>
      </c>
      <c r="D28" s="974">
        <v>109.33</v>
      </c>
      <c r="E28" s="895">
        <v>9068</v>
      </c>
      <c r="F28" s="1249"/>
    </row>
    <row r="29" spans="3:6" ht="14.15" customHeight="1" hidden="1">
      <c r="C29" s="891">
        <v>40566</v>
      </c>
      <c r="D29" s="974">
        <v>109.33</v>
      </c>
      <c r="E29" s="895">
        <v>9068</v>
      </c>
      <c r="F29" s="1249"/>
    </row>
    <row r="30" spans="3:6" ht="14.15" customHeight="1" hidden="1">
      <c r="C30" s="891">
        <v>40567</v>
      </c>
      <c r="D30" s="974">
        <v>109.64</v>
      </c>
      <c r="E30" s="895">
        <v>9063.4</v>
      </c>
      <c r="F30" s="1249"/>
    </row>
    <row r="31" spans="3:6" ht="14.15" customHeight="1" hidden="1">
      <c r="C31" s="891">
        <v>40568</v>
      </c>
      <c r="D31" s="974">
        <v>109.64</v>
      </c>
      <c r="E31" s="895">
        <v>9063.4</v>
      </c>
      <c r="F31" s="1249"/>
    </row>
    <row r="32" spans="3:6" ht="14.15" customHeight="1" hidden="1">
      <c r="C32" s="891">
        <v>40569</v>
      </c>
      <c r="D32" s="974">
        <v>109.64</v>
      </c>
      <c r="E32" s="895">
        <v>9063.4</v>
      </c>
      <c r="F32" s="1249"/>
    </row>
    <row r="33" spans="3:6" ht="14.15" customHeight="1" hidden="1">
      <c r="C33" s="891">
        <v>40570</v>
      </c>
      <c r="D33" s="974">
        <v>109.64</v>
      </c>
      <c r="E33" s="895">
        <v>9063.4</v>
      </c>
      <c r="F33" s="1249"/>
    </row>
    <row r="34" spans="3:6" ht="14.15" customHeight="1" hidden="1">
      <c r="C34" s="891">
        <v>40571</v>
      </c>
      <c r="D34" s="974">
        <v>109.64</v>
      </c>
      <c r="E34" s="895">
        <v>9063.4</v>
      </c>
      <c r="F34" s="1249"/>
    </row>
    <row r="35" spans="3:6" ht="14.15" customHeight="1" hidden="1">
      <c r="C35" s="891">
        <v>40572</v>
      </c>
      <c r="D35" s="974">
        <v>109.64</v>
      </c>
      <c r="E35" s="895">
        <v>9063.4</v>
      </c>
      <c r="F35" s="1249"/>
    </row>
    <row r="36" spans="3:6" ht="14.15" customHeight="1" hidden="1">
      <c r="C36" s="891">
        <v>40573</v>
      </c>
      <c r="D36" s="974">
        <v>109.64</v>
      </c>
      <c r="E36" s="895">
        <v>9063.4</v>
      </c>
      <c r="F36" s="1249"/>
    </row>
    <row r="37" spans="3:6" ht="14.15" customHeight="1" hidden="1">
      <c r="C37" s="891">
        <v>40574</v>
      </c>
      <c r="D37" s="974">
        <v>109.56</v>
      </c>
      <c r="E37" s="895">
        <v>9041</v>
      </c>
      <c r="F37" s="1249"/>
    </row>
    <row r="38" spans="3:6" ht="14.15" customHeight="1" hidden="1">
      <c r="C38" s="891">
        <v>40575</v>
      </c>
      <c r="D38" s="974">
        <v>109.56</v>
      </c>
      <c r="E38" s="895">
        <v>9041</v>
      </c>
      <c r="F38" s="1249"/>
    </row>
    <row r="39" spans="3:6" ht="14.15" customHeight="1" hidden="1">
      <c r="C39" s="891">
        <v>40576</v>
      </c>
      <c r="D39" s="974">
        <v>109.56</v>
      </c>
      <c r="E39" s="895">
        <v>9041</v>
      </c>
      <c r="F39" s="1249"/>
    </row>
    <row r="40" spans="3:6" ht="14.15" customHeight="1" hidden="1">
      <c r="C40" s="891">
        <v>40577</v>
      </c>
      <c r="D40" s="974">
        <v>109.56</v>
      </c>
      <c r="E40" s="895">
        <v>9041</v>
      </c>
      <c r="F40" s="1249"/>
    </row>
    <row r="41" spans="3:6" ht="14.15" customHeight="1" hidden="1">
      <c r="C41" s="891">
        <v>40578</v>
      </c>
      <c r="D41" s="974">
        <v>109.56</v>
      </c>
      <c r="E41" s="895">
        <v>9041</v>
      </c>
      <c r="F41" s="1249"/>
    </row>
    <row r="42" spans="3:6" ht="14.15" customHeight="1" hidden="1">
      <c r="C42" s="891">
        <v>40579</v>
      </c>
      <c r="D42" s="974">
        <v>109.56</v>
      </c>
      <c r="E42" s="895">
        <v>9041</v>
      </c>
      <c r="F42" s="1249"/>
    </row>
    <row r="43" spans="3:6" ht="14.15" customHeight="1" hidden="1">
      <c r="C43" s="891">
        <v>40580</v>
      </c>
      <c r="D43" s="974">
        <v>109.56</v>
      </c>
      <c r="E43" s="895">
        <v>9041</v>
      </c>
      <c r="F43" s="1249"/>
    </row>
    <row r="44" spans="3:6" ht="14.15" customHeight="1" hidden="1">
      <c r="C44" s="891">
        <v>40581</v>
      </c>
      <c r="D44" s="974">
        <v>110.65</v>
      </c>
      <c r="E44" s="895">
        <v>9030</v>
      </c>
      <c r="F44" s="1249"/>
    </row>
    <row r="45" spans="3:6" ht="14.15" customHeight="1" hidden="1">
      <c r="C45" s="891">
        <v>40582</v>
      </c>
      <c r="D45" s="974">
        <v>110.65</v>
      </c>
      <c r="E45" s="895">
        <v>9030</v>
      </c>
      <c r="F45" s="1249"/>
    </row>
    <row r="46" spans="3:6" ht="14.15" customHeight="1" hidden="1">
      <c r="C46" s="891">
        <v>40583</v>
      </c>
      <c r="D46" s="974">
        <v>110.65</v>
      </c>
      <c r="E46" s="895">
        <v>9030</v>
      </c>
      <c r="F46" s="1249"/>
    </row>
    <row r="47" spans="3:6" ht="14.15" customHeight="1" hidden="1">
      <c r="C47" s="891">
        <v>40584</v>
      </c>
      <c r="D47" s="974">
        <v>110.65</v>
      </c>
      <c r="E47" s="895">
        <v>9030</v>
      </c>
      <c r="F47" s="1249"/>
    </row>
    <row r="48" spans="3:6" ht="14.15" customHeight="1" hidden="1">
      <c r="C48" s="891">
        <v>40585</v>
      </c>
      <c r="D48" s="974">
        <v>110.65</v>
      </c>
      <c r="E48" s="895">
        <v>9030</v>
      </c>
      <c r="F48" s="1249"/>
    </row>
    <row r="49" spans="3:6" ht="14.15" customHeight="1" hidden="1">
      <c r="C49" s="891">
        <v>40586</v>
      </c>
      <c r="D49" s="974">
        <v>110.65</v>
      </c>
      <c r="E49" s="895">
        <v>9030</v>
      </c>
      <c r="F49" s="1249"/>
    </row>
    <row r="50" spans="3:6" ht="14.15" customHeight="1" hidden="1">
      <c r="C50" s="891">
        <v>40587</v>
      </c>
      <c r="D50" s="974">
        <v>110.65</v>
      </c>
      <c r="E50" s="895">
        <v>9030</v>
      </c>
      <c r="F50" s="1249"/>
    </row>
    <row r="51" spans="3:6" ht="14.15" customHeight="1" hidden="1">
      <c r="C51" s="891">
        <v>40588</v>
      </c>
      <c r="D51" s="974">
        <v>108.51</v>
      </c>
      <c r="E51" s="895">
        <v>8932.25</v>
      </c>
      <c r="F51" s="1249"/>
    </row>
    <row r="52" spans="3:6" ht="14.15" customHeight="1" hidden="1">
      <c r="C52" s="891">
        <v>40589</v>
      </c>
      <c r="D52" s="974">
        <v>108.51</v>
      </c>
      <c r="E52" s="895">
        <v>8932.25</v>
      </c>
      <c r="F52" s="1249"/>
    </row>
    <row r="53" spans="3:6" ht="14.15" customHeight="1" hidden="1">
      <c r="C53" s="891">
        <v>40590</v>
      </c>
      <c r="D53" s="974">
        <v>108.51</v>
      </c>
      <c r="E53" s="895">
        <v>8932.25</v>
      </c>
      <c r="F53" s="1249"/>
    </row>
    <row r="54" spans="3:6" ht="14.15" customHeight="1" hidden="1">
      <c r="C54" s="891">
        <v>40591</v>
      </c>
      <c r="D54" s="974">
        <v>108.51</v>
      </c>
      <c r="E54" s="895">
        <v>8932.25</v>
      </c>
      <c r="F54" s="1249"/>
    </row>
    <row r="55" spans="3:6" ht="14.15" customHeight="1" hidden="1">
      <c r="C55" s="891">
        <v>40592</v>
      </c>
      <c r="D55" s="974">
        <v>108.51</v>
      </c>
      <c r="E55" s="895">
        <v>8932.25</v>
      </c>
      <c r="F55" s="1249"/>
    </row>
    <row r="56" spans="3:6" ht="14.15" customHeight="1" hidden="1">
      <c r="C56" s="891">
        <v>40593</v>
      </c>
      <c r="D56" s="974">
        <v>108.51</v>
      </c>
      <c r="E56" s="895">
        <v>8932.25</v>
      </c>
      <c r="F56" s="1249"/>
    </row>
    <row r="57" spans="3:6" ht="14.15" customHeight="1" hidden="1">
      <c r="C57" s="891">
        <v>40594</v>
      </c>
      <c r="D57" s="974">
        <v>108.51</v>
      </c>
      <c r="E57" s="895">
        <v>8932.25</v>
      </c>
      <c r="F57" s="1249"/>
    </row>
    <row r="58" spans="3:6" ht="14.15" customHeight="1" hidden="1">
      <c r="C58" s="891">
        <v>40595</v>
      </c>
      <c r="D58" s="974">
        <v>106.62</v>
      </c>
      <c r="E58" s="895">
        <v>8901</v>
      </c>
      <c r="F58" s="1249"/>
    </row>
    <row r="59" spans="3:6" ht="14.15" customHeight="1" hidden="1">
      <c r="C59" s="891">
        <v>40596</v>
      </c>
      <c r="D59" s="974">
        <v>106.62</v>
      </c>
      <c r="E59" s="895">
        <v>8901</v>
      </c>
      <c r="F59" s="1249"/>
    </row>
    <row r="60" spans="3:6" ht="14.15" customHeight="1" hidden="1">
      <c r="C60" s="891">
        <v>40597</v>
      </c>
      <c r="D60" s="974">
        <v>106.62</v>
      </c>
      <c r="E60" s="895">
        <v>8901</v>
      </c>
      <c r="F60" s="1249"/>
    </row>
    <row r="61" spans="3:6" ht="14.15" customHeight="1" hidden="1">
      <c r="C61" s="891">
        <v>40598</v>
      </c>
      <c r="D61" s="974">
        <v>106.62</v>
      </c>
      <c r="E61" s="895">
        <v>8901</v>
      </c>
      <c r="F61" s="1249"/>
    </row>
    <row r="62" spans="3:6" ht="14.15" customHeight="1" hidden="1">
      <c r="C62" s="891">
        <v>40599</v>
      </c>
      <c r="D62" s="974">
        <v>106.62</v>
      </c>
      <c r="E62" s="895">
        <v>8901</v>
      </c>
      <c r="F62" s="1249"/>
    </row>
    <row r="63" spans="3:6" ht="14.15" customHeight="1" hidden="1">
      <c r="C63" s="891">
        <v>40600</v>
      </c>
      <c r="D63" s="974">
        <v>106.62</v>
      </c>
      <c r="E63" s="895">
        <v>8901</v>
      </c>
      <c r="F63" s="1249"/>
    </row>
    <row r="64" spans="3:6" ht="14.15" customHeight="1" hidden="1">
      <c r="C64" s="891">
        <v>40601</v>
      </c>
      <c r="D64" s="974">
        <v>106.62</v>
      </c>
      <c r="E64" s="895">
        <v>8901</v>
      </c>
      <c r="F64" s="1249"/>
    </row>
    <row r="65" spans="3:6" ht="14.15" customHeight="1" hidden="1">
      <c r="C65" s="891">
        <v>40602</v>
      </c>
      <c r="D65" s="974">
        <v>107.52</v>
      </c>
      <c r="E65" s="895">
        <v>8866</v>
      </c>
      <c r="F65" s="1249"/>
    </row>
    <row r="66" spans="3:6" ht="14.15" customHeight="1" hidden="1">
      <c r="C66" s="891">
        <v>40603</v>
      </c>
      <c r="D66" s="974">
        <v>107.52</v>
      </c>
      <c r="E66" s="895">
        <v>8866</v>
      </c>
      <c r="F66" s="1249"/>
    </row>
    <row r="67" spans="3:6" ht="14.15" customHeight="1" hidden="1">
      <c r="C67" s="891">
        <v>40604</v>
      </c>
      <c r="D67" s="974">
        <v>107.52</v>
      </c>
      <c r="E67" s="895">
        <v>8866</v>
      </c>
      <c r="F67" s="1249"/>
    </row>
    <row r="68" spans="3:6" ht="14.15" customHeight="1" hidden="1">
      <c r="C68" s="891">
        <v>40605</v>
      </c>
      <c r="D68" s="974">
        <v>107.52</v>
      </c>
      <c r="E68" s="895">
        <v>8866</v>
      </c>
      <c r="F68" s="1249"/>
    </row>
    <row r="69" spans="3:6" ht="14.15" customHeight="1" hidden="1">
      <c r="C69" s="891">
        <v>40606</v>
      </c>
      <c r="D69" s="974">
        <v>107.52</v>
      </c>
      <c r="E69" s="895">
        <v>8866</v>
      </c>
      <c r="F69" s="1249"/>
    </row>
    <row r="70" spans="3:6" ht="14.15" customHeight="1" hidden="1">
      <c r="C70" s="891">
        <v>40607</v>
      </c>
      <c r="D70" s="974">
        <v>107.52</v>
      </c>
      <c r="E70" s="895">
        <v>8866</v>
      </c>
      <c r="F70" s="1249"/>
    </row>
    <row r="71" spans="3:6" ht="14.15" customHeight="1" hidden="1">
      <c r="C71" s="891">
        <v>40608</v>
      </c>
      <c r="D71" s="974">
        <v>107.52</v>
      </c>
      <c r="E71" s="895">
        <v>8866</v>
      </c>
      <c r="F71" s="1249"/>
    </row>
    <row r="72" spans="3:6" ht="14.15" customHeight="1" hidden="1">
      <c r="C72" s="891">
        <v>40609</v>
      </c>
      <c r="D72" s="974">
        <v>107.38</v>
      </c>
      <c r="E72" s="895">
        <v>8809</v>
      </c>
      <c r="F72" s="1249"/>
    </row>
    <row r="73" spans="3:6" ht="14.15" customHeight="1" hidden="1">
      <c r="C73" s="891">
        <v>40610</v>
      </c>
      <c r="D73" s="974">
        <v>107.38</v>
      </c>
      <c r="E73" s="895">
        <v>8809</v>
      </c>
      <c r="F73" s="1249"/>
    </row>
    <row r="74" spans="3:6" ht="14.15" customHeight="1" hidden="1">
      <c r="C74" s="891">
        <v>40611</v>
      </c>
      <c r="D74" s="974">
        <v>107.38</v>
      </c>
      <c r="E74" s="895">
        <v>8809</v>
      </c>
      <c r="F74" s="1249"/>
    </row>
    <row r="75" spans="3:6" ht="14.15" customHeight="1" hidden="1">
      <c r="C75" s="891">
        <v>40612</v>
      </c>
      <c r="D75" s="974">
        <v>107.38</v>
      </c>
      <c r="E75" s="895">
        <v>8809</v>
      </c>
      <c r="F75" s="1249"/>
    </row>
    <row r="76" spans="3:6" ht="14.15" customHeight="1" hidden="1">
      <c r="C76" s="891">
        <v>40613</v>
      </c>
      <c r="D76" s="974">
        <v>107.38</v>
      </c>
      <c r="E76" s="895">
        <v>8809</v>
      </c>
      <c r="F76" s="1249"/>
    </row>
    <row r="77" spans="3:6" ht="14.15" customHeight="1" hidden="1">
      <c r="C77" s="891">
        <v>40614</v>
      </c>
      <c r="D77" s="974">
        <v>107.38</v>
      </c>
      <c r="E77" s="895">
        <v>8809</v>
      </c>
      <c r="F77" s="1249"/>
    </row>
    <row r="78" spans="3:6" ht="14.15" customHeight="1" hidden="1">
      <c r="C78" s="891">
        <v>40615</v>
      </c>
      <c r="D78" s="974">
        <v>107.38</v>
      </c>
      <c r="E78" s="895">
        <v>8809</v>
      </c>
      <c r="F78" s="1249"/>
    </row>
    <row r="79" spans="3:6" ht="14.15" customHeight="1" hidden="1">
      <c r="C79" s="891">
        <v>40616</v>
      </c>
      <c r="D79" s="974">
        <v>106.25</v>
      </c>
      <c r="E79" s="895">
        <v>8786.8</v>
      </c>
      <c r="F79" s="1249"/>
    </row>
    <row r="80" spans="3:6" ht="14.15" customHeight="1" hidden="1">
      <c r="C80" s="891">
        <v>40617</v>
      </c>
      <c r="D80" s="974">
        <v>106.25</v>
      </c>
      <c r="E80" s="895">
        <v>8786.8</v>
      </c>
      <c r="F80" s="1249"/>
    </row>
    <row r="81" spans="3:6" ht="14.15" customHeight="1" hidden="1">
      <c r="C81" s="891">
        <v>40618</v>
      </c>
      <c r="D81" s="974">
        <v>106.25</v>
      </c>
      <c r="E81" s="895">
        <v>8786.8</v>
      </c>
      <c r="F81" s="1249"/>
    </row>
    <row r="82" spans="3:6" ht="14.15" customHeight="1" hidden="1">
      <c r="C82" s="891">
        <v>40619</v>
      </c>
      <c r="D82" s="974">
        <v>106.25</v>
      </c>
      <c r="E82" s="895">
        <v>8786.8</v>
      </c>
      <c r="F82" s="1249"/>
    </row>
    <row r="83" spans="3:6" ht="14.15" customHeight="1" hidden="1">
      <c r="C83" s="891">
        <v>40620</v>
      </c>
      <c r="D83" s="974">
        <v>106.25</v>
      </c>
      <c r="E83" s="895">
        <v>8786.8</v>
      </c>
      <c r="F83" s="1249"/>
    </row>
    <row r="84" spans="3:6" ht="14.15" customHeight="1" hidden="1">
      <c r="C84" s="891">
        <v>40621</v>
      </c>
      <c r="D84" s="974">
        <v>106.25</v>
      </c>
      <c r="E84" s="895">
        <v>8786.8</v>
      </c>
      <c r="F84" s="1249"/>
    </row>
    <row r="85" spans="3:6" ht="14.15" customHeight="1" hidden="1">
      <c r="C85" s="891">
        <v>40622</v>
      </c>
      <c r="D85" s="974">
        <v>106.25</v>
      </c>
      <c r="E85" s="895">
        <v>8786.8</v>
      </c>
      <c r="F85" s="1249"/>
    </row>
    <row r="86" spans="3:6" ht="14.15" customHeight="1" hidden="1">
      <c r="C86" s="891">
        <v>40623</v>
      </c>
      <c r="D86" s="974">
        <v>108.57</v>
      </c>
      <c r="E86" s="895">
        <v>8775.8</v>
      </c>
      <c r="F86" s="1249"/>
    </row>
    <row r="87" spans="3:6" ht="14.15" customHeight="1" hidden="1">
      <c r="C87" s="891">
        <v>40624</v>
      </c>
      <c r="D87" s="974">
        <v>108.57</v>
      </c>
      <c r="E87" s="895">
        <v>8775.8</v>
      </c>
      <c r="F87" s="1249"/>
    </row>
    <row r="88" spans="3:6" ht="14.15" customHeight="1" hidden="1">
      <c r="C88" s="891">
        <v>40625</v>
      </c>
      <c r="D88" s="974">
        <v>108.57</v>
      </c>
      <c r="E88" s="895">
        <v>8775.8</v>
      </c>
      <c r="F88" s="1249"/>
    </row>
    <row r="89" spans="3:6" ht="14.15" customHeight="1" hidden="1">
      <c r="C89" s="891">
        <v>40626</v>
      </c>
      <c r="D89" s="974">
        <v>108.57</v>
      </c>
      <c r="E89" s="895">
        <v>8775.8</v>
      </c>
      <c r="F89" s="1249"/>
    </row>
    <row r="90" spans="3:6" ht="14.15" customHeight="1" hidden="1">
      <c r="C90" s="891">
        <v>40627</v>
      </c>
      <c r="D90" s="974">
        <v>108.57</v>
      </c>
      <c r="E90" s="895">
        <v>8775.8</v>
      </c>
      <c r="F90" s="1249"/>
    </row>
    <row r="91" spans="3:6" ht="14.15" customHeight="1" hidden="1">
      <c r="C91" s="891">
        <v>40628</v>
      </c>
      <c r="D91" s="974">
        <v>108.57</v>
      </c>
      <c r="E91" s="895">
        <v>8775.8</v>
      </c>
      <c r="F91" s="1249"/>
    </row>
    <row r="92" spans="3:6" ht="14.15" customHeight="1" hidden="1">
      <c r="C92" s="891">
        <v>40629</v>
      </c>
      <c r="D92" s="974">
        <v>108.57</v>
      </c>
      <c r="E92" s="895">
        <v>8775.8</v>
      </c>
      <c r="F92" s="1249"/>
    </row>
    <row r="93" spans="3:6" ht="14.15" customHeight="1" hidden="1">
      <c r="C93" s="891">
        <v>40630</v>
      </c>
      <c r="D93" s="974">
        <v>107.69</v>
      </c>
      <c r="E93" s="895">
        <v>8720.2</v>
      </c>
      <c r="F93" s="1249"/>
    </row>
    <row r="94" spans="3:6" ht="14.15" customHeight="1" hidden="1">
      <c r="C94" s="891">
        <v>40631</v>
      </c>
      <c r="D94" s="974">
        <v>107.69</v>
      </c>
      <c r="E94" s="895">
        <v>8720.2</v>
      </c>
      <c r="F94" s="1249"/>
    </row>
    <row r="95" spans="3:6" ht="14.15" customHeight="1" hidden="1">
      <c r="C95" s="891">
        <v>40632</v>
      </c>
      <c r="D95" s="974">
        <v>107.69</v>
      </c>
      <c r="E95" s="895">
        <v>8720.2</v>
      </c>
      <c r="F95" s="1249"/>
    </row>
    <row r="96" spans="3:6" ht="14.15" customHeight="1" hidden="1">
      <c r="C96" s="891">
        <v>40633</v>
      </c>
      <c r="D96" s="974">
        <v>107.69</v>
      </c>
      <c r="E96" s="895">
        <v>8720.2</v>
      </c>
      <c r="F96" s="1249"/>
    </row>
    <row r="97" spans="3:6" ht="14.15" customHeight="1" hidden="1">
      <c r="C97" s="891">
        <v>40634</v>
      </c>
      <c r="D97" s="974">
        <v>107.69</v>
      </c>
      <c r="E97" s="895">
        <v>8720.2</v>
      </c>
      <c r="F97" s="1249"/>
    </row>
    <row r="98" spans="3:6" ht="14.15" customHeight="1" hidden="1">
      <c r="C98" s="891">
        <v>40635</v>
      </c>
      <c r="D98" s="974">
        <v>107.69</v>
      </c>
      <c r="E98" s="895">
        <v>8720.2</v>
      </c>
      <c r="F98" s="1249"/>
    </row>
    <row r="99" spans="3:6" ht="14.15" customHeight="1" hidden="1">
      <c r="C99" s="891">
        <v>40636</v>
      </c>
      <c r="D99" s="974">
        <v>107.69</v>
      </c>
      <c r="E99" s="895">
        <v>8720.2</v>
      </c>
      <c r="F99" s="1249"/>
    </row>
    <row r="100" spans="3:6" ht="14.15" customHeight="1" hidden="1">
      <c r="C100" s="891">
        <v>40637</v>
      </c>
      <c r="D100" s="974">
        <v>106.09</v>
      </c>
      <c r="E100" s="895">
        <v>8715</v>
      </c>
      <c r="F100" s="1249"/>
    </row>
    <row r="101" spans="3:6" ht="14.15" customHeight="1" hidden="1">
      <c r="C101" s="891">
        <v>40638</v>
      </c>
      <c r="D101" s="974">
        <v>106.09</v>
      </c>
      <c r="E101" s="895">
        <v>8715</v>
      </c>
      <c r="F101" s="1249"/>
    </row>
    <row r="102" spans="3:6" ht="14.15" customHeight="1" hidden="1">
      <c r="C102" s="891">
        <v>40639</v>
      </c>
      <c r="D102" s="974">
        <v>106.09</v>
      </c>
      <c r="E102" s="895">
        <v>8715</v>
      </c>
      <c r="F102" s="1249"/>
    </row>
    <row r="103" spans="3:6" ht="14.15" customHeight="1" hidden="1">
      <c r="C103" s="891">
        <v>40640</v>
      </c>
      <c r="D103" s="974">
        <v>106.09</v>
      </c>
      <c r="E103" s="895">
        <v>8715</v>
      </c>
      <c r="F103" s="1249"/>
    </row>
    <row r="104" spans="3:6" ht="14.15" customHeight="1" hidden="1">
      <c r="C104" s="891">
        <v>40641</v>
      </c>
      <c r="D104" s="974">
        <v>106.09</v>
      </c>
      <c r="E104" s="895">
        <v>8715</v>
      </c>
      <c r="F104" s="1249"/>
    </row>
    <row r="105" spans="3:6" ht="14.15" customHeight="1" hidden="1">
      <c r="C105" s="891">
        <v>40642</v>
      </c>
      <c r="D105" s="974">
        <v>106.09</v>
      </c>
      <c r="E105" s="895">
        <v>8715</v>
      </c>
      <c r="F105" s="1249"/>
    </row>
    <row r="106" spans="3:6" ht="14.15" customHeight="1" hidden="1">
      <c r="C106" s="891">
        <v>40643</v>
      </c>
      <c r="D106" s="974">
        <v>106.09</v>
      </c>
      <c r="E106" s="895">
        <v>8715</v>
      </c>
      <c r="F106" s="1249"/>
    </row>
    <row r="107" spans="3:6" ht="14.15" customHeight="1" hidden="1">
      <c r="C107" s="891">
        <v>40644</v>
      </c>
      <c r="D107" s="974">
        <v>102.18</v>
      </c>
      <c r="E107" s="895">
        <v>8663</v>
      </c>
      <c r="F107" s="1249"/>
    </row>
    <row r="108" spans="3:6" ht="14.15" customHeight="1" hidden="1">
      <c r="C108" s="891">
        <v>40645</v>
      </c>
      <c r="D108" s="974">
        <v>102.18</v>
      </c>
      <c r="E108" s="895">
        <v>8663</v>
      </c>
      <c r="F108" s="1249"/>
    </row>
    <row r="109" spans="3:6" ht="14.15" customHeight="1" hidden="1">
      <c r="C109" s="891">
        <v>40646</v>
      </c>
      <c r="D109" s="974">
        <v>102.18</v>
      </c>
      <c r="E109" s="895">
        <v>8663</v>
      </c>
      <c r="F109" s="1249"/>
    </row>
    <row r="110" spans="3:6" ht="14.15" customHeight="1" hidden="1">
      <c r="C110" s="891">
        <v>40647</v>
      </c>
      <c r="D110" s="974">
        <v>102.18</v>
      </c>
      <c r="E110" s="895">
        <v>8663</v>
      </c>
      <c r="F110" s="1249"/>
    </row>
    <row r="111" spans="3:6" ht="14.15" customHeight="1" hidden="1">
      <c r="C111" s="891">
        <v>40648</v>
      </c>
      <c r="D111" s="974">
        <v>102.18</v>
      </c>
      <c r="E111" s="895">
        <v>8663</v>
      </c>
      <c r="F111" s="1249"/>
    </row>
    <row r="112" spans="3:6" ht="14.15" customHeight="1" hidden="1">
      <c r="C112" s="891">
        <v>40649</v>
      </c>
      <c r="D112" s="974">
        <v>102.18</v>
      </c>
      <c r="E112" s="895">
        <v>8663</v>
      </c>
      <c r="F112" s="1249"/>
    </row>
    <row r="113" spans="3:6" ht="14.15" customHeight="1" hidden="1">
      <c r="C113" s="891">
        <v>40650</v>
      </c>
      <c r="D113" s="974">
        <v>102.18</v>
      </c>
      <c r="E113" s="895">
        <v>8663</v>
      </c>
      <c r="F113" s="1249"/>
    </row>
    <row r="114" spans="3:6" ht="14.15" customHeight="1" hidden="1">
      <c r="C114" s="891">
        <v>40651</v>
      </c>
      <c r="D114" s="974">
        <v>102.58</v>
      </c>
      <c r="E114" s="895">
        <v>8659.75</v>
      </c>
      <c r="F114" s="1249"/>
    </row>
    <row r="115" spans="3:6" ht="14.15" customHeight="1" hidden="1">
      <c r="C115" s="891">
        <v>40652</v>
      </c>
      <c r="D115" s="974">
        <v>102.58</v>
      </c>
      <c r="E115" s="895">
        <v>8659.75</v>
      </c>
      <c r="F115" s="1249"/>
    </row>
    <row r="116" spans="3:6" ht="14.15" customHeight="1" hidden="1">
      <c r="C116" s="891">
        <v>40653</v>
      </c>
      <c r="D116" s="974">
        <v>102.58</v>
      </c>
      <c r="E116" s="895">
        <v>8659.75</v>
      </c>
      <c r="F116" s="1249"/>
    </row>
    <row r="117" spans="3:6" ht="14.15" customHeight="1" hidden="1">
      <c r="C117" s="891">
        <v>40654</v>
      </c>
      <c r="D117" s="974">
        <v>102.58</v>
      </c>
      <c r="E117" s="895">
        <v>8659.75</v>
      </c>
      <c r="F117" s="1249"/>
    </row>
    <row r="118" spans="3:6" ht="14.15" customHeight="1" hidden="1">
      <c r="C118" s="891">
        <v>40655</v>
      </c>
      <c r="D118" s="974">
        <v>102.58</v>
      </c>
      <c r="E118" s="895">
        <v>8659.75</v>
      </c>
      <c r="F118" s="1249"/>
    </row>
    <row r="119" spans="3:6" ht="14.15" customHeight="1" hidden="1">
      <c r="C119" s="891">
        <v>40656</v>
      </c>
      <c r="D119" s="974">
        <v>102.58</v>
      </c>
      <c r="E119" s="895">
        <v>8659.75</v>
      </c>
      <c r="F119" s="1249"/>
    </row>
    <row r="120" spans="3:6" ht="14.15" customHeight="1" hidden="1">
      <c r="C120" s="891">
        <v>40657</v>
      </c>
      <c r="D120" s="974">
        <v>102.58</v>
      </c>
      <c r="E120" s="895">
        <v>8659.75</v>
      </c>
      <c r="F120" s="1249"/>
    </row>
    <row r="121" spans="3:6" ht="14.15" customHeight="1" hidden="1">
      <c r="C121" s="891">
        <v>40658</v>
      </c>
      <c r="D121" s="974">
        <v>104.9</v>
      </c>
      <c r="E121" s="895">
        <v>8664</v>
      </c>
      <c r="F121" s="1249"/>
    </row>
    <row r="122" spans="3:6" ht="14.15" customHeight="1" hidden="1">
      <c r="C122" s="891">
        <v>40659</v>
      </c>
      <c r="D122" s="974">
        <v>104.9</v>
      </c>
      <c r="E122" s="895">
        <v>8664</v>
      </c>
      <c r="F122" s="1249"/>
    </row>
    <row r="123" spans="3:6" ht="14.15" customHeight="1" hidden="1">
      <c r="C123" s="891">
        <v>40660</v>
      </c>
      <c r="D123" s="974">
        <v>104.9</v>
      </c>
      <c r="E123" s="895">
        <v>8664</v>
      </c>
      <c r="F123" s="1249"/>
    </row>
    <row r="124" spans="3:6" ht="14.15" customHeight="1" hidden="1">
      <c r="C124" s="891">
        <v>40661</v>
      </c>
      <c r="D124" s="974">
        <v>104.9</v>
      </c>
      <c r="E124" s="895">
        <v>8664</v>
      </c>
      <c r="F124" s="1249"/>
    </row>
    <row r="125" spans="3:6" ht="14.15" customHeight="1" hidden="1">
      <c r="C125" s="891">
        <v>40662</v>
      </c>
      <c r="D125" s="974">
        <v>104.9</v>
      </c>
      <c r="E125" s="895">
        <v>8664</v>
      </c>
      <c r="F125" s="1249"/>
    </row>
    <row r="126" spans="3:6" ht="14.15" customHeight="1" hidden="1">
      <c r="C126" s="891">
        <v>40663</v>
      </c>
      <c r="D126" s="974">
        <v>104.9</v>
      </c>
      <c r="E126" s="895">
        <v>8664</v>
      </c>
      <c r="F126" s="1249"/>
    </row>
    <row r="127" spans="3:6" ht="14.15" customHeight="1" hidden="1">
      <c r="C127" s="891">
        <v>40664</v>
      </c>
      <c r="D127" s="974">
        <v>104.9</v>
      </c>
      <c r="E127" s="895">
        <v>8664</v>
      </c>
      <c r="F127" s="1249"/>
    </row>
    <row r="128" spans="3:6" ht="14.15" customHeight="1" hidden="1">
      <c r="C128" s="891">
        <v>40665</v>
      </c>
      <c r="D128" s="974">
        <v>105.15</v>
      </c>
      <c r="E128" s="895">
        <v>8618</v>
      </c>
      <c r="F128" s="1249"/>
    </row>
    <row r="129" spans="3:6" ht="14.15" customHeight="1" hidden="1">
      <c r="C129" s="891">
        <v>40666</v>
      </c>
      <c r="D129" s="974">
        <v>105.15</v>
      </c>
      <c r="E129" s="895">
        <v>8618</v>
      </c>
      <c r="F129" s="1249"/>
    </row>
    <row r="130" spans="3:6" ht="14.15" customHeight="1" hidden="1">
      <c r="C130" s="891">
        <v>40667</v>
      </c>
      <c r="D130" s="974">
        <v>105.15</v>
      </c>
      <c r="E130" s="895">
        <v>8618</v>
      </c>
      <c r="F130" s="1249"/>
    </row>
    <row r="131" spans="3:6" ht="14.15" customHeight="1" hidden="1">
      <c r="C131" s="891">
        <v>40668</v>
      </c>
      <c r="D131" s="974">
        <v>105.15</v>
      </c>
      <c r="E131" s="895">
        <v>8618</v>
      </c>
      <c r="F131" s="1249"/>
    </row>
    <row r="132" spans="3:6" ht="14.15" customHeight="1" hidden="1">
      <c r="C132" s="891">
        <v>40669</v>
      </c>
      <c r="D132" s="974">
        <v>105.15</v>
      </c>
      <c r="E132" s="895">
        <v>8618</v>
      </c>
      <c r="F132" s="1249"/>
    </row>
    <row r="133" spans="3:6" ht="14.15" customHeight="1" hidden="1">
      <c r="C133" s="891">
        <v>40670</v>
      </c>
      <c r="D133" s="974">
        <v>105.15</v>
      </c>
      <c r="E133" s="895">
        <v>8618</v>
      </c>
      <c r="F133" s="1249"/>
    </row>
    <row r="134" spans="3:6" ht="14.15" customHeight="1" hidden="1">
      <c r="C134" s="891">
        <v>40671</v>
      </c>
      <c r="D134" s="974">
        <v>105.15</v>
      </c>
      <c r="E134" s="895">
        <v>8618</v>
      </c>
      <c r="F134" s="1249"/>
    </row>
    <row r="135" spans="3:6" ht="14.15" customHeight="1" hidden="1">
      <c r="C135" s="891">
        <v>40672</v>
      </c>
      <c r="D135" s="974">
        <v>105.62</v>
      </c>
      <c r="E135" s="895">
        <v>8553</v>
      </c>
      <c r="F135" s="1249"/>
    </row>
    <row r="136" spans="3:6" ht="14.15" customHeight="1" hidden="1">
      <c r="C136" s="891">
        <v>40673</v>
      </c>
      <c r="D136" s="974">
        <v>105.62</v>
      </c>
      <c r="E136" s="895">
        <v>8553</v>
      </c>
      <c r="F136" s="1249"/>
    </row>
    <row r="137" spans="3:6" ht="14.15" customHeight="1" hidden="1">
      <c r="C137" s="891">
        <v>40674</v>
      </c>
      <c r="D137" s="974">
        <v>105.62</v>
      </c>
      <c r="E137" s="895">
        <v>8553</v>
      </c>
      <c r="F137" s="1249"/>
    </row>
    <row r="138" spans="3:6" ht="14.15" customHeight="1" hidden="1">
      <c r="C138" s="891">
        <v>40675</v>
      </c>
      <c r="D138" s="974">
        <v>105.62</v>
      </c>
      <c r="E138" s="895">
        <v>8553</v>
      </c>
      <c r="F138" s="1249"/>
    </row>
    <row r="139" spans="3:6" ht="14.15" customHeight="1" hidden="1">
      <c r="C139" s="891">
        <v>40676</v>
      </c>
      <c r="D139" s="974">
        <v>105.62</v>
      </c>
      <c r="E139" s="895">
        <v>8553</v>
      </c>
      <c r="F139" s="1249"/>
    </row>
    <row r="140" spans="3:6" ht="14.15" customHeight="1" hidden="1">
      <c r="C140" s="891">
        <v>40677</v>
      </c>
      <c r="D140" s="974">
        <v>105.62</v>
      </c>
      <c r="E140" s="895">
        <v>8553</v>
      </c>
      <c r="F140" s="1249"/>
    </row>
    <row r="141" spans="3:6" ht="14.15" customHeight="1" hidden="1">
      <c r="C141" s="891">
        <v>40678</v>
      </c>
      <c r="D141" s="974">
        <v>105.62</v>
      </c>
      <c r="E141" s="895">
        <v>8553</v>
      </c>
      <c r="F141" s="1249"/>
    </row>
    <row r="142" spans="3:6" ht="14.15" customHeight="1" hidden="1">
      <c r="C142" s="891">
        <v>40679</v>
      </c>
      <c r="D142" s="974">
        <v>105.86</v>
      </c>
      <c r="E142" s="895">
        <v>8554</v>
      </c>
      <c r="F142" s="1249"/>
    </row>
    <row r="143" spans="3:6" ht="14.15" customHeight="1" hidden="1">
      <c r="C143" s="891">
        <v>40680</v>
      </c>
      <c r="D143" s="974">
        <v>105.86</v>
      </c>
      <c r="E143" s="895">
        <v>8554</v>
      </c>
      <c r="F143" s="1249"/>
    </row>
    <row r="144" spans="3:6" ht="14.15" customHeight="1" hidden="1">
      <c r="C144" s="891">
        <v>40681</v>
      </c>
      <c r="D144" s="974">
        <v>105.86</v>
      </c>
      <c r="E144" s="895">
        <v>8554</v>
      </c>
      <c r="F144" s="1249"/>
    </row>
    <row r="145" spans="3:6" ht="14.15" customHeight="1" hidden="1">
      <c r="C145" s="891">
        <v>40682</v>
      </c>
      <c r="D145" s="974">
        <v>105.86</v>
      </c>
      <c r="E145" s="895">
        <v>8554</v>
      </c>
      <c r="F145" s="1249"/>
    </row>
    <row r="146" spans="3:6" ht="14.15" customHeight="1" hidden="1">
      <c r="C146" s="891">
        <v>40683</v>
      </c>
      <c r="D146" s="974">
        <v>105.86</v>
      </c>
      <c r="E146" s="895">
        <v>8554</v>
      </c>
      <c r="F146" s="1249"/>
    </row>
    <row r="147" spans="3:6" ht="14.15" customHeight="1" hidden="1">
      <c r="C147" s="891">
        <v>40684</v>
      </c>
      <c r="D147" s="974">
        <v>105.86</v>
      </c>
      <c r="E147" s="895">
        <v>8554</v>
      </c>
      <c r="F147" s="1249"/>
    </row>
    <row r="148" spans="3:6" ht="14.15" customHeight="1" hidden="1">
      <c r="C148" s="891">
        <v>40685</v>
      </c>
      <c r="D148" s="974">
        <v>105.86</v>
      </c>
      <c r="E148" s="895">
        <v>8554</v>
      </c>
      <c r="F148" s="1249"/>
    </row>
    <row r="149" spans="3:6" ht="14.15" customHeight="1" hidden="1">
      <c r="C149" s="891">
        <v>40686</v>
      </c>
      <c r="D149" s="974">
        <v>105.2</v>
      </c>
      <c r="E149" s="895">
        <v>8569</v>
      </c>
      <c r="F149" s="1249"/>
    </row>
    <row r="150" spans="3:6" ht="14.15" customHeight="1" hidden="1">
      <c r="C150" s="891">
        <v>40687</v>
      </c>
      <c r="D150" s="974">
        <v>105.2</v>
      </c>
      <c r="E150" s="895">
        <v>8569</v>
      </c>
      <c r="F150" s="1249"/>
    </row>
    <row r="151" spans="3:6" ht="14.15" customHeight="1" hidden="1">
      <c r="C151" s="891">
        <v>40688</v>
      </c>
      <c r="D151" s="974">
        <v>105.2</v>
      </c>
      <c r="E151" s="895">
        <v>8569</v>
      </c>
      <c r="F151" s="1249"/>
    </row>
    <row r="152" spans="3:6" ht="14.15" customHeight="1" hidden="1">
      <c r="C152" s="891">
        <v>40689</v>
      </c>
      <c r="D152" s="974">
        <v>105.2</v>
      </c>
      <c r="E152" s="895">
        <v>8569</v>
      </c>
      <c r="F152" s="1249"/>
    </row>
    <row r="153" spans="3:6" ht="14.15" customHeight="1" hidden="1">
      <c r="C153" s="891">
        <v>40690</v>
      </c>
      <c r="D153" s="974">
        <v>105.2</v>
      </c>
      <c r="E153" s="895">
        <v>8569</v>
      </c>
      <c r="F153" s="1249"/>
    </row>
    <row r="154" spans="3:6" ht="14.15" customHeight="1" hidden="1">
      <c r="C154" s="891">
        <v>40691</v>
      </c>
      <c r="D154" s="974">
        <v>105.2</v>
      </c>
      <c r="E154" s="895">
        <v>8569</v>
      </c>
      <c r="F154" s="1249"/>
    </row>
    <row r="155" spans="3:6" ht="14.15" customHeight="1" hidden="1">
      <c r="C155" s="891">
        <v>40692</v>
      </c>
      <c r="D155" s="974">
        <v>105.2</v>
      </c>
      <c r="E155" s="895">
        <v>8569</v>
      </c>
      <c r="F155" s="1249"/>
    </row>
    <row r="156" spans="3:6" ht="14.15" customHeight="1" hidden="1">
      <c r="C156" s="891">
        <v>40693</v>
      </c>
      <c r="D156" s="974">
        <v>105.12</v>
      </c>
      <c r="E156" s="895">
        <v>8584</v>
      </c>
      <c r="F156" s="1249"/>
    </row>
    <row r="157" spans="3:6" ht="14.15" customHeight="1" hidden="1">
      <c r="C157" s="891">
        <v>40694</v>
      </c>
      <c r="D157" s="974">
        <v>105.12</v>
      </c>
      <c r="E157" s="895">
        <v>8584</v>
      </c>
      <c r="F157" s="1249"/>
    </row>
    <row r="158" spans="3:6" ht="14.15" customHeight="1" hidden="1">
      <c r="C158" s="891">
        <v>40695</v>
      </c>
      <c r="D158" s="974">
        <v>105.12</v>
      </c>
      <c r="E158" s="895">
        <v>8584</v>
      </c>
      <c r="F158" s="1249"/>
    </row>
    <row r="159" spans="3:6" ht="14.15" customHeight="1" hidden="1">
      <c r="C159" s="891">
        <v>40696</v>
      </c>
      <c r="D159" s="974">
        <v>105.12</v>
      </c>
      <c r="E159" s="895">
        <v>8584</v>
      </c>
      <c r="F159" s="1249"/>
    </row>
    <row r="160" spans="3:6" ht="14.15" customHeight="1" hidden="1">
      <c r="C160" s="891">
        <v>40697</v>
      </c>
      <c r="D160" s="974">
        <v>105.12</v>
      </c>
      <c r="E160" s="895">
        <v>8584</v>
      </c>
      <c r="F160" s="1249"/>
    </row>
    <row r="161" spans="3:6" ht="14.15" customHeight="1" hidden="1">
      <c r="C161" s="891">
        <v>40698</v>
      </c>
      <c r="D161" s="974">
        <v>105.12</v>
      </c>
      <c r="E161" s="895">
        <v>8584</v>
      </c>
      <c r="F161" s="1249"/>
    </row>
    <row r="162" spans="3:6" ht="14.15" customHeight="1" hidden="1">
      <c r="C162" s="891">
        <v>40699</v>
      </c>
      <c r="D162" s="974">
        <v>105.12</v>
      </c>
      <c r="E162" s="895">
        <v>8584</v>
      </c>
      <c r="F162" s="1249"/>
    </row>
    <row r="163" spans="3:6" ht="14.15" customHeight="1" hidden="1">
      <c r="C163" s="891">
        <v>40700</v>
      </c>
      <c r="D163" s="974">
        <v>105.34</v>
      </c>
      <c r="E163" s="895">
        <v>8549</v>
      </c>
      <c r="F163" s="1249"/>
    </row>
    <row r="164" spans="3:6" ht="14.15" customHeight="1" hidden="1">
      <c r="C164" s="891">
        <v>40701</v>
      </c>
      <c r="D164" s="974">
        <v>105.34</v>
      </c>
      <c r="E164" s="895">
        <v>8549</v>
      </c>
      <c r="F164" s="1249"/>
    </row>
    <row r="165" spans="3:6" ht="14.15" customHeight="1" hidden="1">
      <c r="C165" s="891">
        <v>40702</v>
      </c>
      <c r="D165" s="974">
        <v>105.34</v>
      </c>
      <c r="E165" s="895">
        <v>8549</v>
      </c>
      <c r="F165" s="1249"/>
    </row>
    <row r="166" spans="3:6" ht="14.15" customHeight="1" hidden="1">
      <c r="C166" s="891">
        <v>40703</v>
      </c>
      <c r="D166" s="974">
        <v>105.34</v>
      </c>
      <c r="E166" s="895">
        <v>8549</v>
      </c>
      <c r="F166" s="1249"/>
    </row>
    <row r="167" spans="3:6" ht="14.15" customHeight="1" hidden="1">
      <c r="C167" s="891">
        <v>40704</v>
      </c>
      <c r="D167" s="974">
        <v>105.34</v>
      </c>
      <c r="E167" s="895">
        <v>8549</v>
      </c>
      <c r="F167" s="1249"/>
    </row>
    <row r="168" spans="3:6" ht="14.15" customHeight="1" hidden="1">
      <c r="C168" s="891">
        <v>40705</v>
      </c>
      <c r="D168" s="974">
        <v>105.34</v>
      </c>
      <c r="E168" s="895">
        <v>8549</v>
      </c>
      <c r="F168" s="1249"/>
    </row>
    <row r="169" spans="3:6" ht="14.15" customHeight="1" hidden="1">
      <c r="C169" s="891">
        <v>40706</v>
      </c>
      <c r="D169" s="974">
        <v>105.34</v>
      </c>
      <c r="E169" s="895">
        <v>8549</v>
      </c>
      <c r="F169" s="1249"/>
    </row>
    <row r="170" spans="3:6" ht="14.15" customHeight="1" hidden="1">
      <c r="C170" s="891">
        <v>40707</v>
      </c>
      <c r="D170" s="974">
        <v>106.35</v>
      </c>
      <c r="E170" s="895">
        <v>8516</v>
      </c>
      <c r="F170" s="1249"/>
    </row>
    <row r="171" spans="3:6" ht="14.15" customHeight="1" hidden="1">
      <c r="C171" s="891">
        <v>40708</v>
      </c>
      <c r="D171" s="974">
        <v>106.35</v>
      </c>
      <c r="E171" s="895">
        <v>8516</v>
      </c>
      <c r="F171" s="1249"/>
    </row>
    <row r="172" spans="3:6" ht="14.15" customHeight="1" hidden="1">
      <c r="C172" s="891">
        <v>40709</v>
      </c>
      <c r="D172" s="974">
        <v>106.35</v>
      </c>
      <c r="E172" s="895">
        <v>8516</v>
      </c>
      <c r="F172" s="1249"/>
    </row>
    <row r="173" spans="3:6" ht="14.15" customHeight="1" hidden="1">
      <c r="C173" s="891">
        <v>40710</v>
      </c>
      <c r="D173" s="974">
        <v>106.35</v>
      </c>
      <c r="E173" s="895">
        <v>8516</v>
      </c>
      <c r="F173" s="1249"/>
    </row>
    <row r="174" spans="3:6" ht="14.15" customHeight="1" hidden="1">
      <c r="C174" s="891">
        <v>40711</v>
      </c>
      <c r="D174" s="974">
        <v>106.35</v>
      </c>
      <c r="E174" s="895">
        <v>8516</v>
      </c>
      <c r="F174" s="1249"/>
    </row>
    <row r="175" spans="3:6" ht="14.15" customHeight="1" hidden="1">
      <c r="C175" s="891">
        <v>40712</v>
      </c>
      <c r="D175" s="974">
        <v>106.35</v>
      </c>
      <c r="E175" s="895">
        <v>8516</v>
      </c>
      <c r="F175" s="1249"/>
    </row>
    <row r="176" spans="3:6" ht="14.15" customHeight="1" hidden="1">
      <c r="C176" s="891">
        <v>40713</v>
      </c>
      <c r="D176" s="974">
        <v>106.35</v>
      </c>
      <c r="E176" s="895">
        <v>8516</v>
      </c>
      <c r="F176" s="1249"/>
    </row>
    <row r="177" spans="3:6" ht="14.15" customHeight="1" hidden="1">
      <c r="C177" s="891">
        <v>40714</v>
      </c>
      <c r="D177" s="974">
        <v>106.25</v>
      </c>
      <c r="E177" s="895">
        <v>8563</v>
      </c>
      <c r="F177" s="1249"/>
    </row>
    <row r="178" spans="3:6" ht="14.15" customHeight="1" hidden="1">
      <c r="C178" s="891">
        <v>40715</v>
      </c>
      <c r="D178" s="974">
        <v>106.25</v>
      </c>
      <c r="E178" s="895">
        <v>8563</v>
      </c>
      <c r="F178" s="1249"/>
    </row>
    <row r="179" spans="3:6" ht="14.15" customHeight="1" hidden="1">
      <c r="C179" s="891">
        <v>40716</v>
      </c>
      <c r="D179" s="974">
        <v>106.25</v>
      </c>
      <c r="E179" s="895">
        <v>8563</v>
      </c>
      <c r="F179" s="1249"/>
    </row>
    <row r="180" spans="3:6" ht="14.15" customHeight="1" hidden="1">
      <c r="C180" s="891">
        <v>40717</v>
      </c>
      <c r="D180" s="974">
        <v>106.25</v>
      </c>
      <c r="E180" s="895">
        <v>8563</v>
      </c>
      <c r="F180" s="1249"/>
    </row>
    <row r="181" spans="3:6" ht="14.15" customHeight="1" hidden="1">
      <c r="C181" s="891">
        <v>40718</v>
      </c>
      <c r="D181" s="974">
        <v>106.25</v>
      </c>
      <c r="E181" s="895">
        <v>8563</v>
      </c>
      <c r="F181" s="1249"/>
    </row>
    <row r="182" spans="3:6" ht="14.15" customHeight="1" hidden="1">
      <c r="C182" s="891">
        <v>40719</v>
      </c>
      <c r="D182" s="974">
        <v>106.25</v>
      </c>
      <c r="E182" s="895">
        <v>8563</v>
      </c>
      <c r="F182" s="1249"/>
    </row>
    <row r="183" spans="3:6" ht="14.15" customHeight="1" hidden="1">
      <c r="C183" s="891">
        <v>40720</v>
      </c>
      <c r="D183" s="974">
        <v>106.25</v>
      </c>
      <c r="E183" s="895">
        <v>8563</v>
      </c>
      <c r="F183" s="1249"/>
    </row>
    <row r="184" spans="3:6" ht="14.15" customHeight="1" hidden="1">
      <c r="C184" s="891">
        <v>40721</v>
      </c>
      <c r="D184" s="974">
        <v>107.13</v>
      </c>
      <c r="E184" s="895">
        <v>8603</v>
      </c>
      <c r="F184" s="1249"/>
    </row>
    <row r="185" spans="3:6" ht="14.15" customHeight="1" hidden="1">
      <c r="C185" s="891">
        <v>40722</v>
      </c>
      <c r="D185" s="974">
        <v>107.13</v>
      </c>
      <c r="E185" s="895">
        <v>8603</v>
      </c>
      <c r="F185" s="1249"/>
    </row>
    <row r="186" spans="3:6" ht="14.15" customHeight="1" hidden="1">
      <c r="C186" s="891">
        <v>40723</v>
      </c>
      <c r="D186" s="974">
        <v>107.13</v>
      </c>
      <c r="E186" s="895">
        <v>8603</v>
      </c>
      <c r="F186" s="1249"/>
    </row>
    <row r="187" spans="3:6" ht="14.15" customHeight="1" hidden="1">
      <c r="C187" s="891">
        <v>40724</v>
      </c>
      <c r="D187" s="974">
        <v>107.13</v>
      </c>
      <c r="E187" s="895">
        <v>8603</v>
      </c>
      <c r="F187" s="1249"/>
    </row>
    <row r="188" spans="3:6" ht="14.15" customHeight="1" hidden="1">
      <c r="C188" s="891">
        <v>40725</v>
      </c>
      <c r="D188" s="974">
        <v>107.13</v>
      </c>
      <c r="E188" s="895">
        <v>8603</v>
      </c>
      <c r="F188" s="1249"/>
    </row>
    <row r="189" spans="3:6" ht="14.15" customHeight="1" hidden="1">
      <c r="C189" s="891">
        <v>40726</v>
      </c>
      <c r="D189" s="974">
        <v>107.13</v>
      </c>
      <c r="E189" s="895">
        <v>8603</v>
      </c>
      <c r="F189" s="1249"/>
    </row>
    <row r="190" spans="3:6" ht="14.15" customHeight="1" hidden="1">
      <c r="C190" s="891">
        <v>40727</v>
      </c>
      <c r="D190" s="974">
        <v>107.13</v>
      </c>
      <c r="E190" s="895">
        <v>8603</v>
      </c>
      <c r="F190" s="1249"/>
    </row>
    <row r="191" spans="3:6" ht="14.15" customHeight="1" hidden="1">
      <c r="C191" s="891">
        <v>40728</v>
      </c>
      <c r="D191" s="974">
        <v>106.4</v>
      </c>
      <c r="E191" s="895">
        <v>8600</v>
      </c>
      <c r="F191" s="1249"/>
    </row>
    <row r="192" spans="3:6" ht="14.15" customHeight="1" hidden="1">
      <c r="C192" s="891">
        <v>40729</v>
      </c>
      <c r="D192" s="974">
        <v>106.4</v>
      </c>
      <c r="E192" s="895">
        <v>8600</v>
      </c>
      <c r="F192" s="1249"/>
    </row>
    <row r="193" spans="3:6" ht="14.15" customHeight="1" hidden="1">
      <c r="C193" s="891">
        <v>40730</v>
      </c>
      <c r="D193" s="974">
        <v>106.4</v>
      </c>
      <c r="E193" s="895">
        <v>8600</v>
      </c>
      <c r="F193" s="1249"/>
    </row>
    <row r="194" spans="3:6" ht="14.15" customHeight="1" hidden="1">
      <c r="C194" s="891">
        <v>40731</v>
      </c>
      <c r="D194" s="974">
        <v>106.4</v>
      </c>
      <c r="E194" s="895">
        <v>8600</v>
      </c>
      <c r="F194" s="1249"/>
    </row>
    <row r="195" spans="3:6" ht="14.15" customHeight="1" hidden="1">
      <c r="C195" s="891">
        <v>40732</v>
      </c>
      <c r="D195" s="974">
        <v>106.4</v>
      </c>
      <c r="E195" s="895">
        <v>8600</v>
      </c>
      <c r="F195" s="1249"/>
    </row>
    <row r="196" spans="3:6" ht="14.15" customHeight="1" hidden="1">
      <c r="C196" s="891">
        <v>40733</v>
      </c>
      <c r="D196" s="974">
        <v>106.4</v>
      </c>
      <c r="E196" s="895">
        <v>8600</v>
      </c>
      <c r="F196" s="1249"/>
    </row>
    <row r="197" spans="3:6" ht="14.15" customHeight="1" hidden="1">
      <c r="C197" s="891">
        <v>40734</v>
      </c>
      <c r="D197" s="974">
        <v>106.4</v>
      </c>
      <c r="E197" s="895">
        <v>8600</v>
      </c>
      <c r="F197" s="1249"/>
    </row>
    <row r="198" spans="3:6" ht="14.15" customHeight="1" hidden="1">
      <c r="C198" s="891">
        <v>40735</v>
      </c>
      <c r="D198" s="974">
        <v>105.26</v>
      </c>
      <c r="E198" s="895">
        <v>8533</v>
      </c>
      <c r="F198" s="1249"/>
    </row>
    <row r="199" spans="3:6" ht="14.15" customHeight="1" hidden="1">
      <c r="C199" s="891">
        <v>40736</v>
      </c>
      <c r="D199" s="974">
        <v>105.26</v>
      </c>
      <c r="E199" s="895">
        <v>8533</v>
      </c>
      <c r="F199" s="1249"/>
    </row>
    <row r="200" spans="3:6" ht="14.15" customHeight="1" hidden="1">
      <c r="C200" s="891">
        <v>40737</v>
      </c>
      <c r="D200" s="974">
        <v>105.26</v>
      </c>
      <c r="E200" s="895">
        <v>8533</v>
      </c>
      <c r="F200" s="1249"/>
    </row>
    <row r="201" spans="3:6" ht="14.15" customHeight="1" hidden="1">
      <c r="C201" s="891">
        <v>40738</v>
      </c>
      <c r="D201" s="974">
        <v>105.26</v>
      </c>
      <c r="E201" s="895">
        <v>8533</v>
      </c>
      <c r="F201" s="1249"/>
    </row>
    <row r="202" spans="3:6" ht="14.15" customHeight="1" hidden="1">
      <c r="C202" s="891">
        <v>40739</v>
      </c>
      <c r="D202" s="974">
        <v>105.26</v>
      </c>
      <c r="E202" s="895">
        <v>8533</v>
      </c>
      <c r="F202" s="1249"/>
    </row>
    <row r="203" spans="3:6" ht="14.15" customHeight="1" hidden="1">
      <c r="C203" s="891">
        <v>40740</v>
      </c>
      <c r="D203" s="974">
        <v>105.26</v>
      </c>
      <c r="E203" s="895">
        <v>8533</v>
      </c>
      <c r="F203" s="1249"/>
    </row>
    <row r="204" spans="3:6" ht="14.15" customHeight="1" hidden="1">
      <c r="C204" s="891">
        <v>40741</v>
      </c>
      <c r="D204" s="974">
        <v>105.26</v>
      </c>
      <c r="E204" s="895">
        <v>8533</v>
      </c>
      <c r="F204" s="1249"/>
    </row>
    <row r="205" spans="3:6" ht="14.15" customHeight="1" hidden="1">
      <c r="C205" s="891">
        <v>40742</v>
      </c>
      <c r="D205" s="974">
        <v>107.7</v>
      </c>
      <c r="E205" s="895">
        <v>8545</v>
      </c>
      <c r="F205" s="1249"/>
    </row>
    <row r="206" spans="3:6" ht="14.15" customHeight="1" hidden="1">
      <c r="C206" s="891">
        <v>40743</v>
      </c>
      <c r="D206" s="974">
        <v>107.7</v>
      </c>
      <c r="E206" s="895">
        <v>8545</v>
      </c>
      <c r="F206" s="1249"/>
    </row>
    <row r="207" spans="3:6" ht="14.15" customHeight="1" hidden="1">
      <c r="C207" s="891">
        <v>40744</v>
      </c>
      <c r="D207" s="974">
        <v>107.7</v>
      </c>
      <c r="E207" s="895">
        <v>8545</v>
      </c>
      <c r="F207" s="1249"/>
    </row>
    <row r="208" spans="3:6" ht="14.15" customHeight="1" hidden="1">
      <c r="C208" s="891">
        <v>40745</v>
      </c>
      <c r="D208" s="974">
        <v>107.7</v>
      </c>
      <c r="E208" s="895">
        <v>8545</v>
      </c>
      <c r="F208" s="1249"/>
    </row>
    <row r="209" spans="3:6" ht="14.15" customHeight="1" hidden="1">
      <c r="C209" s="891">
        <v>40746</v>
      </c>
      <c r="D209" s="974">
        <v>107.7</v>
      </c>
      <c r="E209" s="895">
        <v>8545</v>
      </c>
      <c r="F209" s="1249"/>
    </row>
    <row r="210" spans="3:6" ht="14.15" customHeight="1" hidden="1">
      <c r="C210" s="891">
        <v>40747</v>
      </c>
      <c r="D210" s="974">
        <v>107.7</v>
      </c>
      <c r="E210" s="895">
        <v>8545</v>
      </c>
      <c r="F210" s="1249"/>
    </row>
    <row r="211" spans="3:6" ht="14.15" customHeight="1" hidden="1">
      <c r="C211" s="891">
        <v>40748</v>
      </c>
      <c r="D211" s="974">
        <v>107.7</v>
      </c>
      <c r="E211" s="895">
        <v>8545</v>
      </c>
      <c r="F211" s="1249"/>
    </row>
    <row r="212" spans="3:6" ht="14.15" customHeight="1" hidden="1">
      <c r="C212" s="891">
        <v>40749</v>
      </c>
      <c r="D212" s="974">
        <v>108.32</v>
      </c>
      <c r="E212" s="895">
        <v>8543</v>
      </c>
      <c r="F212" s="1249"/>
    </row>
    <row r="213" spans="3:6" ht="14.15" customHeight="1" hidden="1">
      <c r="C213" s="891">
        <v>40750</v>
      </c>
      <c r="D213" s="974">
        <v>108.32</v>
      </c>
      <c r="E213" s="895">
        <v>8543</v>
      </c>
      <c r="F213" s="1249"/>
    </row>
    <row r="214" spans="3:6" ht="14.15" customHeight="1" hidden="1">
      <c r="C214" s="891">
        <v>40751</v>
      </c>
      <c r="D214" s="974">
        <v>108.32</v>
      </c>
      <c r="E214" s="895">
        <v>8543</v>
      </c>
      <c r="F214" s="1249"/>
    </row>
    <row r="215" spans="3:6" ht="14.15" customHeight="1" hidden="1">
      <c r="C215" s="891">
        <v>40752</v>
      </c>
      <c r="D215" s="974">
        <v>108.32</v>
      </c>
      <c r="E215" s="895">
        <v>8543</v>
      </c>
      <c r="F215" s="1249"/>
    </row>
    <row r="216" spans="3:6" ht="14.15" customHeight="1" hidden="1">
      <c r="C216" s="891">
        <v>40753</v>
      </c>
      <c r="D216" s="974">
        <v>108.32</v>
      </c>
      <c r="E216" s="895">
        <v>8543</v>
      </c>
      <c r="F216" s="1249"/>
    </row>
    <row r="217" spans="3:6" ht="14.15" customHeight="1" hidden="1">
      <c r="C217" s="891">
        <v>40754</v>
      </c>
      <c r="D217" s="974">
        <v>108.32</v>
      </c>
      <c r="E217" s="895">
        <v>8543</v>
      </c>
      <c r="F217" s="1249"/>
    </row>
    <row r="218" spans="3:6" ht="14.15" customHeight="1" hidden="1">
      <c r="C218" s="891">
        <v>40755</v>
      </c>
      <c r="D218" s="974">
        <v>108.32</v>
      </c>
      <c r="E218" s="895">
        <v>8543</v>
      </c>
      <c r="F218" s="1249"/>
    </row>
    <row r="219" spans="3:6" ht="14.15" customHeight="1" hidden="1">
      <c r="C219" s="891">
        <v>40756</v>
      </c>
      <c r="D219" s="974">
        <v>108.96</v>
      </c>
      <c r="E219" s="895">
        <v>8503</v>
      </c>
      <c r="F219" s="1249"/>
    </row>
    <row r="220" spans="3:6" ht="14.15" customHeight="1" hidden="1">
      <c r="C220" s="891">
        <v>40757</v>
      </c>
      <c r="D220" s="974">
        <v>108.96</v>
      </c>
      <c r="E220" s="895">
        <v>8503</v>
      </c>
      <c r="F220" s="1249"/>
    </row>
    <row r="221" spans="3:6" ht="14.15" customHeight="1" hidden="1">
      <c r="C221" s="891">
        <v>40758</v>
      </c>
      <c r="D221" s="974">
        <v>108.96</v>
      </c>
      <c r="E221" s="895">
        <v>8503</v>
      </c>
      <c r="F221" s="1249"/>
    </row>
    <row r="222" spans="3:6" ht="14.15" customHeight="1" hidden="1">
      <c r="C222" s="891">
        <v>40759</v>
      </c>
      <c r="D222" s="974">
        <v>108.96</v>
      </c>
      <c r="E222" s="895">
        <v>8503</v>
      </c>
      <c r="F222" s="1249"/>
    </row>
    <row r="223" spans="3:6" ht="14.15" customHeight="1" hidden="1">
      <c r="C223" s="891">
        <v>40760</v>
      </c>
      <c r="D223" s="974">
        <v>108.96</v>
      </c>
      <c r="E223" s="895">
        <v>8503</v>
      </c>
      <c r="F223" s="1249"/>
    </row>
    <row r="224" spans="3:6" ht="14.15" customHeight="1" hidden="1">
      <c r="C224" s="891">
        <v>40761</v>
      </c>
      <c r="D224" s="974">
        <v>108.96</v>
      </c>
      <c r="E224" s="895">
        <v>8503</v>
      </c>
      <c r="F224" s="1249"/>
    </row>
    <row r="225" spans="3:6" ht="14.15" customHeight="1" hidden="1">
      <c r="C225" s="891">
        <v>40762</v>
      </c>
      <c r="D225" s="974">
        <v>108.96</v>
      </c>
      <c r="E225" s="895">
        <v>8503</v>
      </c>
      <c r="F225" s="1249"/>
    </row>
    <row r="226" spans="3:6" ht="14.15" customHeight="1" hidden="1">
      <c r="C226" s="891">
        <v>40763</v>
      </c>
      <c r="D226" s="974">
        <v>108.98</v>
      </c>
      <c r="E226" s="895">
        <v>8483</v>
      </c>
      <c r="F226" s="1249"/>
    </row>
    <row r="227" spans="3:6" ht="14.15" customHeight="1" hidden="1">
      <c r="C227" s="891">
        <v>40764</v>
      </c>
      <c r="D227" s="974">
        <v>108.98</v>
      </c>
      <c r="E227" s="895">
        <v>8483</v>
      </c>
      <c r="F227" s="1249"/>
    </row>
    <row r="228" spans="3:6" ht="14.15" customHeight="1" hidden="1">
      <c r="C228" s="891">
        <v>40765</v>
      </c>
      <c r="D228" s="974">
        <v>108.98</v>
      </c>
      <c r="E228" s="895">
        <v>8483</v>
      </c>
      <c r="F228" s="1249"/>
    </row>
    <row r="229" spans="3:6" ht="14.15" customHeight="1" hidden="1">
      <c r="C229" s="891">
        <v>40766</v>
      </c>
      <c r="D229" s="974">
        <v>108.98</v>
      </c>
      <c r="E229" s="895">
        <v>8483</v>
      </c>
      <c r="F229" s="1249"/>
    </row>
    <row r="230" spans="3:6" ht="14.15" customHeight="1" hidden="1">
      <c r="C230" s="891">
        <v>40767</v>
      </c>
      <c r="D230" s="974">
        <v>108.98</v>
      </c>
      <c r="E230" s="895">
        <v>8483</v>
      </c>
      <c r="F230" s="1249"/>
    </row>
    <row r="231" spans="3:6" ht="14.15" customHeight="1" hidden="1">
      <c r="C231" s="891">
        <v>40768</v>
      </c>
      <c r="D231" s="974">
        <v>108.98</v>
      </c>
      <c r="E231" s="895">
        <v>8483</v>
      </c>
      <c r="F231" s="1249"/>
    </row>
    <row r="232" spans="3:6" ht="14.15" customHeight="1" hidden="1">
      <c r="C232" s="891">
        <v>40769</v>
      </c>
      <c r="D232" s="974">
        <v>108.98</v>
      </c>
      <c r="E232" s="895">
        <v>8483</v>
      </c>
      <c r="F232" s="1249"/>
    </row>
    <row r="233" spans="3:6" ht="14.15" customHeight="1" hidden="1">
      <c r="C233" s="891">
        <v>40770</v>
      </c>
      <c r="D233" s="974">
        <v>110.99</v>
      </c>
      <c r="E233" s="895">
        <v>8542</v>
      </c>
      <c r="F233" s="1249"/>
    </row>
    <row r="234" spans="3:6" ht="14.15" customHeight="1" hidden="1">
      <c r="C234" s="891">
        <v>40771</v>
      </c>
      <c r="D234" s="974">
        <v>110.99</v>
      </c>
      <c r="E234" s="895">
        <v>8542</v>
      </c>
      <c r="F234" s="1249"/>
    </row>
    <row r="235" spans="3:6" ht="14.15" customHeight="1" hidden="1">
      <c r="C235" s="891">
        <v>40772</v>
      </c>
      <c r="D235" s="974">
        <v>110.99</v>
      </c>
      <c r="E235" s="895">
        <v>8542</v>
      </c>
      <c r="F235" s="1249"/>
    </row>
    <row r="236" spans="3:6" ht="14.15" customHeight="1" hidden="1">
      <c r="C236" s="891">
        <v>40773</v>
      </c>
      <c r="D236" s="974">
        <v>110.99</v>
      </c>
      <c r="E236" s="895">
        <v>8542</v>
      </c>
      <c r="F236" s="1249"/>
    </row>
    <row r="237" spans="3:6" ht="14.15" customHeight="1" hidden="1">
      <c r="C237" s="891">
        <v>40774</v>
      </c>
      <c r="D237" s="974">
        <v>110.99</v>
      </c>
      <c r="E237" s="895">
        <v>8542</v>
      </c>
      <c r="F237" s="1249"/>
    </row>
    <row r="238" spans="3:6" ht="14.15" customHeight="1" hidden="1">
      <c r="C238" s="891">
        <v>40775</v>
      </c>
      <c r="D238" s="974">
        <v>110.99</v>
      </c>
      <c r="E238" s="895">
        <v>8542</v>
      </c>
      <c r="F238" s="1249"/>
    </row>
    <row r="239" spans="3:6" ht="14.15" customHeight="1" hidden="1">
      <c r="C239" s="891">
        <v>40776</v>
      </c>
      <c r="D239" s="974">
        <v>110.99</v>
      </c>
      <c r="E239" s="895">
        <v>8542</v>
      </c>
      <c r="F239" s="1249"/>
    </row>
    <row r="240" spans="3:6" ht="14.15" customHeight="1" hidden="1">
      <c r="C240" s="891">
        <v>40777</v>
      </c>
      <c r="D240" s="974">
        <v>111.34</v>
      </c>
      <c r="E240" s="895">
        <v>8539</v>
      </c>
      <c r="F240" s="1249"/>
    </row>
    <row r="241" spans="3:6" ht="14.15" customHeight="1" hidden="1">
      <c r="C241" s="891">
        <v>40778</v>
      </c>
      <c r="D241" s="974">
        <v>111.34</v>
      </c>
      <c r="E241" s="895">
        <v>8539</v>
      </c>
      <c r="F241" s="1249"/>
    </row>
    <row r="242" spans="3:6" ht="14.15" customHeight="1" hidden="1">
      <c r="C242" s="891">
        <v>40779</v>
      </c>
      <c r="D242" s="974">
        <v>111.34</v>
      </c>
      <c r="E242" s="895">
        <v>8539</v>
      </c>
      <c r="F242" s="1249"/>
    </row>
    <row r="243" spans="3:6" ht="14.15" customHeight="1" hidden="1">
      <c r="C243" s="891">
        <v>40780</v>
      </c>
      <c r="D243" s="974">
        <v>111.34</v>
      </c>
      <c r="E243" s="895">
        <v>8539</v>
      </c>
      <c r="F243" s="1249"/>
    </row>
    <row r="244" spans="3:6" ht="14.15" customHeight="1" hidden="1">
      <c r="C244" s="891">
        <v>40781</v>
      </c>
      <c r="D244" s="974">
        <v>111.34</v>
      </c>
      <c r="E244" s="895">
        <v>8539</v>
      </c>
      <c r="F244" s="1249"/>
    </row>
    <row r="245" spans="3:6" ht="14.15" customHeight="1" hidden="1">
      <c r="C245" s="891">
        <v>40782</v>
      </c>
      <c r="D245" s="974">
        <v>111.34</v>
      </c>
      <c r="E245" s="895">
        <v>8539</v>
      </c>
      <c r="F245" s="1249"/>
    </row>
    <row r="246" spans="3:6" ht="14.15" customHeight="1" hidden="1">
      <c r="C246" s="891">
        <v>40783</v>
      </c>
      <c r="D246" s="974">
        <v>111.34</v>
      </c>
      <c r="E246" s="895">
        <v>8539</v>
      </c>
      <c r="F246" s="1249"/>
    </row>
    <row r="247" spans="3:6" ht="14.15" customHeight="1" hidden="1">
      <c r="C247" s="891">
        <v>40784</v>
      </c>
      <c r="D247" s="974">
        <v>111.41</v>
      </c>
      <c r="E247" s="895">
        <v>8554</v>
      </c>
      <c r="F247" s="1249"/>
    </row>
    <row r="248" spans="3:6" ht="14.15" customHeight="1" hidden="1">
      <c r="C248" s="891">
        <v>40785</v>
      </c>
      <c r="D248" s="974">
        <v>111.41</v>
      </c>
      <c r="E248" s="895">
        <v>8554</v>
      </c>
      <c r="F248" s="1249"/>
    </row>
    <row r="249" spans="3:6" ht="14.15" customHeight="1" hidden="1">
      <c r="C249" s="891">
        <v>40786</v>
      </c>
      <c r="D249" s="974">
        <v>111.41</v>
      </c>
      <c r="E249" s="895">
        <v>8554</v>
      </c>
      <c r="F249" s="1249"/>
    </row>
    <row r="250" spans="3:6" ht="14.15" customHeight="1" hidden="1">
      <c r="C250" s="891">
        <v>40787</v>
      </c>
      <c r="D250" s="974">
        <v>111.41</v>
      </c>
      <c r="E250" s="895">
        <v>8554</v>
      </c>
      <c r="F250" s="1249"/>
    </row>
    <row r="251" spans="3:6" ht="14.15" customHeight="1" hidden="1">
      <c r="C251" s="891">
        <v>40788</v>
      </c>
      <c r="D251" s="974">
        <v>111.41</v>
      </c>
      <c r="E251" s="895">
        <v>8554</v>
      </c>
      <c r="F251" s="1249"/>
    </row>
    <row r="252" spans="3:6" ht="14.15" customHeight="1" hidden="1">
      <c r="C252" s="891">
        <v>40789</v>
      </c>
      <c r="D252" s="974">
        <v>111.41</v>
      </c>
      <c r="E252" s="895">
        <v>8554</v>
      </c>
      <c r="F252" s="1249"/>
    </row>
    <row r="253" spans="3:6" ht="14.15" customHeight="1" hidden="1">
      <c r="C253" s="891">
        <v>40790</v>
      </c>
      <c r="D253" s="974">
        <v>111.41</v>
      </c>
      <c r="E253" s="895">
        <v>8554</v>
      </c>
      <c r="F253" s="1249"/>
    </row>
    <row r="254" spans="3:6" ht="14.15" customHeight="1" hidden="1">
      <c r="C254" s="891">
        <v>40791</v>
      </c>
      <c r="D254" s="974">
        <v>111.41</v>
      </c>
      <c r="E254" s="895">
        <v>8554</v>
      </c>
      <c r="F254" s="1249"/>
    </row>
    <row r="255" spans="3:6" ht="14.15" customHeight="1" hidden="1">
      <c r="C255" s="891">
        <v>40792</v>
      </c>
      <c r="D255" s="974">
        <v>111.41</v>
      </c>
      <c r="E255" s="895">
        <v>8554</v>
      </c>
      <c r="F255" s="1249"/>
    </row>
    <row r="256" spans="3:6" ht="14.15" customHeight="1" hidden="1">
      <c r="C256" s="891">
        <v>40793</v>
      </c>
      <c r="D256" s="974">
        <v>111.41</v>
      </c>
      <c r="E256" s="895">
        <v>8554</v>
      </c>
      <c r="F256" s="1249"/>
    </row>
    <row r="257" spans="3:6" ht="14.15" customHeight="1" hidden="1">
      <c r="C257" s="891">
        <v>40794</v>
      </c>
      <c r="D257" s="974">
        <v>111.41</v>
      </c>
      <c r="E257" s="895">
        <v>8554</v>
      </c>
      <c r="F257" s="1249"/>
    </row>
    <row r="258" spans="3:6" ht="14.15" customHeight="1" hidden="1">
      <c r="C258" s="891">
        <v>40795</v>
      </c>
      <c r="D258" s="974">
        <v>111.41</v>
      </c>
      <c r="E258" s="895">
        <v>8554</v>
      </c>
      <c r="F258" s="1249"/>
    </row>
    <row r="259" spans="3:6" ht="14.15" customHeight="1" hidden="1">
      <c r="C259" s="891">
        <v>40796</v>
      </c>
      <c r="D259" s="974">
        <v>111.41</v>
      </c>
      <c r="E259" s="895">
        <v>8554</v>
      </c>
      <c r="F259" s="1249"/>
    </row>
    <row r="260" spans="3:6" ht="14.15" customHeight="1" hidden="1">
      <c r="C260" s="891">
        <v>40797</v>
      </c>
      <c r="D260" s="974">
        <v>111.41</v>
      </c>
      <c r="E260" s="895">
        <v>8554</v>
      </c>
      <c r="F260" s="1249"/>
    </row>
    <row r="261" spans="3:6" ht="14.15" customHeight="1" hidden="1">
      <c r="C261" s="891">
        <v>40798</v>
      </c>
      <c r="D261" s="974">
        <v>111.41</v>
      </c>
      <c r="E261" s="895">
        <v>8554</v>
      </c>
      <c r="F261" s="1249"/>
    </row>
    <row r="262" spans="3:6" ht="14.15" customHeight="1" hidden="1">
      <c r="C262" s="891">
        <v>40799</v>
      </c>
      <c r="D262" s="974">
        <v>111.41</v>
      </c>
      <c r="E262" s="895">
        <v>8554</v>
      </c>
      <c r="F262" s="1249"/>
    </row>
    <row r="263" spans="3:6" ht="14.15" customHeight="1" hidden="1">
      <c r="C263" s="891">
        <v>40800</v>
      </c>
      <c r="D263" s="974">
        <v>111.41</v>
      </c>
      <c r="E263" s="895">
        <v>8554</v>
      </c>
      <c r="F263" s="1249"/>
    </row>
    <row r="264" spans="3:6" ht="14.15" customHeight="1" hidden="1">
      <c r="C264" s="891">
        <v>40801</v>
      </c>
      <c r="D264" s="974">
        <v>111.41</v>
      </c>
      <c r="E264" s="895">
        <v>8554</v>
      </c>
      <c r="F264" s="1249"/>
    </row>
    <row r="265" spans="3:6" ht="14.15" customHeight="1" hidden="1">
      <c r="C265" s="891">
        <v>40802</v>
      </c>
      <c r="D265" s="974">
        <v>111.41</v>
      </c>
      <c r="E265" s="895">
        <v>8554</v>
      </c>
      <c r="F265" s="1249"/>
    </row>
    <row r="266" spans="3:6" ht="14.15" customHeight="1" hidden="1">
      <c r="C266" s="891">
        <v>40803</v>
      </c>
      <c r="D266" s="974">
        <v>111.41</v>
      </c>
      <c r="E266" s="895">
        <v>8554</v>
      </c>
      <c r="F266" s="1249"/>
    </row>
    <row r="267" spans="3:6" ht="14.15" customHeight="1" hidden="1">
      <c r="C267" s="891">
        <v>40804</v>
      </c>
      <c r="D267" s="974">
        <v>111.41</v>
      </c>
      <c r="E267" s="895">
        <v>8554</v>
      </c>
      <c r="F267" s="1249"/>
    </row>
    <row r="268" spans="3:8" ht="14.15" customHeight="1" hidden="1">
      <c r="C268" s="891">
        <v>40805</v>
      </c>
      <c r="D268" s="974">
        <v>113.73</v>
      </c>
      <c r="E268" s="895">
        <v>8741</v>
      </c>
      <c r="F268" s="1249"/>
      <c r="H268" s="1249"/>
    </row>
    <row r="269" spans="3:6" ht="14.15" customHeight="1" hidden="1">
      <c r="C269" s="891">
        <v>40806</v>
      </c>
      <c r="D269" s="974">
        <v>113.73</v>
      </c>
      <c r="E269" s="895">
        <v>8741</v>
      </c>
      <c r="F269" s="1249"/>
    </row>
    <row r="270" spans="3:6" ht="14.15" customHeight="1" hidden="1">
      <c r="C270" s="891">
        <v>40807</v>
      </c>
      <c r="D270" s="974">
        <v>113.73</v>
      </c>
      <c r="E270" s="895">
        <v>8741</v>
      </c>
      <c r="F270" s="1249"/>
    </row>
    <row r="271" spans="3:6" ht="14.15" customHeight="1" hidden="1">
      <c r="C271" s="891">
        <v>40808</v>
      </c>
      <c r="D271" s="974">
        <v>113.73</v>
      </c>
      <c r="E271" s="895">
        <v>8741</v>
      </c>
      <c r="F271" s="1249"/>
    </row>
    <row r="272" spans="3:6" ht="14.15" customHeight="1" hidden="1">
      <c r="C272" s="891">
        <v>40809</v>
      </c>
      <c r="D272" s="974">
        <v>113.73</v>
      </c>
      <c r="E272" s="895">
        <v>8741</v>
      </c>
      <c r="F272" s="1249"/>
    </row>
    <row r="273" spans="3:6" ht="14.15" customHeight="1" hidden="1">
      <c r="C273" s="891">
        <v>40810</v>
      </c>
      <c r="D273" s="974">
        <v>113.73</v>
      </c>
      <c r="E273" s="895">
        <v>8741</v>
      </c>
      <c r="F273" s="1249"/>
    </row>
    <row r="274" spans="3:6" ht="14.15" customHeight="1" hidden="1">
      <c r="C274" s="891">
        <v>40811</v>
      </c>
      <c r="D274" s="974">
        <v>113.73</v>
      </c>
      <c r="E274" s="895">
        <v>8741</v>
      </c>
      <c r="F274" s="1249"/>
    </row>
    <row r="275" spans="3:6" ht="14.15" customHeight="1" hidden="1">
      <c r="C275" s="891">
        <v>40812</v>
      </c>
      <c r="D275" s="974">
        <v>117.42</v>
      </c>
      <c r="E275" s="895">
        <v>8973</v>
      </c>
      <c r="F275" s="1249"/>
    </row>
    <row r="276" spans="3:6" ht="14.15" customHeight="1" hidden="1">
      <c r="C276" s="891">
        <v>40813</v>
      </c>
      <c r="D276" s="974">
        <v>117.42</v>
      </c>
      <c r="E276" s="895">
        <v>8973</v>
      </c>
      <c r="F276" s="1249"/>
    </row>
    <row r="277" spans="3:6" ht="14.15" customHeight="1" hidden="1">
      <c r="C277" s="891">
        <v>40814</v>
      </c>
      <c r="D277" s="974">
        <v>117.42</v>
      </c>
      <c r="E277" s="895">
        <v>8973</v>
      </c>
      <c r="F277" s="1249"/>
    </row>
    <row r="278" spans="3:6" ht="14.15" customHeight="1" hidden="1">
      <c r="C278" s="891">
        <v>40815</v>
      </c>
      <c r="D278" s="974">
        <v>117.42</v>
      </c>
      <c r="E278" s="895">
        <v>8973</v>
      </c>
      <c r="F278" s="1249"/>
    </row>
    <row r="279" spans="3:6" ht="14.15" customHeight="1" hidden="1">
      <c r="C279" s="891">
        <v>40816</v>
      </c>
      <c r="D279" s="974">
        <v>117.42</v>
      </c>
      <c r="E279" s="895">
        <v>8973</v>
      </c>
      <c r="F279" s="1249"/>
    </row>
    <row r="280" spans="3:6" ht="14.15" customHeight="1" hidden="1">
      <c r="C280" s="891">
        <v>40817</v>
      </c>
      <c r="D280" s="974">
        <v>117.42</v>
      </c>
      <c r="E280" s="895">
        <v>8973</v>
      </c>
      <c r="F280" s="1249"/>
    </row>
    <row r="281" spans="3:6" ht="14.15" customHeight="1" hidden="1">
      <c r="C281" s="891">
        <v>40818</v>
      </c>
      <c r="D281" s="974">
        <v>117.42</v>
      </c>
      <c r="E281" s="895">
        <v>8973</v>
      </c>
      <c r="F281" s="1249"/>
    </row>
    <row r="282" spans="3:6" ht="14.15" customHeight="1" hidden="1">
      <c r="C282" s="891">
        <v>40819</v>
      </c>
      <c r="D282" s="974">
        <v>117.24</v>
      </c>
      <c r="E282" s="895">
        <v>8979</v>
      </c>
      <c r="F282" s="1249"/>
    </row>
    <row r="283" spans="3:6" ht="14.15" customHeight="1" hidden="1">
      <c r="C283" s="891">
        <v>40820</v>
      </c>
      <c r="D283" s="974">
        <v>117.24</v>
      </c>
      <c r="E283" s="895">
        <v>8979</v>
      </c>
      <c r="F283" s="1249"/>
    </row>
    <row r="284" spans="3:6" ht="14.15" customHeight="1" hidden="1">
      <c r="C284" s="891">
        <v>40821</v>
      </c>
      <c r="D284" s="974">
        <v>117.24</v>
      </c>
      <c r="E284" s="895">
        <v>8979</v>
      </c>
      <c r="F284" s="1249"/>
    </row>
    <row r="285" spans="3:6" ht="14.15" customHeight="1" hidden="1">
      <c r="C285" s="891">
        <v>40822</v>
      </c>
      <c r="D285" s="974">
        <v>117.24</v>
      </c>
      <c r="E285" s="895">
        <v>8979</v>
      </c>
      <c r="F285" s="1249"/>
    </row>
    <row r="286" spans="3:6" ht="14.15" customHeight="1" hidden="1">
      <c r="C286" s="891">
        <v>40823</v>
      </c>
      <c r="D286" s="974">
        <v>117.24</v>
      </c>
      <c r="E286" s="895">
        <v>8979</v>
      </c>
      <c r="F286" s="1249"/>
    </row>
    <row r="287" spans="3:6" ht="14.15" customHeight="1" hidden="1">
      <c r="C287" s="891">
        <v>40824</v>
      </c>
      <c r="D287" s="974">
        <v>117.24</v>
      </c>
      <c r="E287" s="895">
        <v>8979</v>
      </c>
      <c r="F287" s="1249"/>
    </row>
    <row r="288" spans="3:6" ht="14.15" customHeight="1" hidden="1">
      <c r="C288" s="891">
        <v>40825</v>
      </c>
      <c r="D288" s="974">
        <v>117.24</v>
      </c>
      <c r="E288" s="895">
        <v>8979</v>
      </c>
      <c r="F288" s="1249"/>
    </row>
    <row r="289" spans="3:6" ht="14.15" customHeight="1" hidden="1">
      <c r="C289" s="891">
        <v>40826</v>
      </c>
      <c r="D289" s="974">
        <v>116.55</v>
      </c>
      <c r="E289" s="895">
        <v>8943</v>
      </c>
      <c r="F289" s="1249"/>
    </row>
    <row r="290" spans="3:6" ht="14.15" customHeight="1" hidden="1">
      <c r="C290" s="891">
        <v>40827</v>
      </c>
      <c r="D290" s="974">
        <v>116.55</v>
      </c>
      <c r="E290" s="895">
        <v>8943</v>
      </c>
      <c r="F290" s="1249"/>
    </row>
    <row r="291" spans="3:6" ht="14.15" customHeight="1" hidden="1">
      <c r="C291" s="891">
        <v>40828</v>
      </c>
      <c r="D291" s="974">
        <v>116.55</v>
      </c>
      <c r="E291" s="895">
        <v>8943</v>
      </c>
      <c r="F291" s="1249"/>
    </row>
    <row r="292" spans="3:6" ht="14.15" customHeight="1" hidden="1">
      <c r="C292" s="891">
        <v>40829</v>
      </c>
      <c r="D292" s="974">
        <v>116.55</v>
      </c>
      <c r="E292" s="895">
        <v>8943</v>
      </c>
      <c r="F292" s="1249"/>
    </row>
    <row r="293" spans="3:6" ht="14.15" customHeight="1" hidden="1">
      <c r="C293" s="891">
        <v>40830</v>
      </c>
      <c r="D293" s="974">
        <v>116.55</v>
      </c>
      <c r="E293" s="895">
        <v>8943</v>
      </c>
      <c r="F293" s="1249"/>
    </row>
    <row r="294" spans="3:6" ht="14.15" customHeight="1" hidden="1">
      <c r="C294" s="891">
        <v>40831</v>
      </c>
      <c r="D294" s="974">
        <v>116.55</v>
      </c>
      <c r="E294" s="895">
        <v>8943</v>
      </c>
      <c r="F294" s="1249"/>
    </row>
    <row r="295" spans="3:6" ht="14.15" customHeight="1" hidden="1">
      <c r="C295" s="891">
        <v>40832</v>
      </c>
      <c r="D295" s="974">
        <v>116.55</v>
      </c>
      <c r="E295" s="895">
        <v>8943</v>
      </c>
      <c r="F295" s="1249"/>
    </row>
    <row r="296" spans="3:6" ht="14.15" customHeight="1" hidden="1">
      <c r="C296" s="891">
        <v>40833</v>
      </c>
      <c r="D296" s="974">
        <v>116.08</v>
      </c>
      <c r="E296" s="895">
        <v>8913</v>
      </c>
      <c r="F296" s="1249"/>
    </row>
    <row r="297" spans="3:6" ht="14.15" customHeight="1" hidden="1">
      <c r="C297" s="891">
        <v>40834</v>
      </c>
      <c r="D297" s="974">
        <v>116.08</v>
      </c>
      <c r="E297" s="895">
        <v>8913</v>
      </c>
      <c r="F297" s="1249"/>
    </row>
    <row r="298" spans="3:6" ht="14.15" customHeight="1" hidden="1">
      <c r="C298" s="891">
        <v>40835</v>
      </c>
      <c r="D298" s="974">
        <v>116.08</v>
      </c>
      <c r="E298" s="895">
        <v>8913</v>
      </c>
      <c r="F298" s="1249"/>
    </row>
    <row r="299" spans="3:6" ht="14.15" customHeight="1" hidden="1">
      <c r="C299" s="891">
        <v>40836</v>
      </c>
      <c r="D299" s="974">
        <v>116.08</v>
      </c>
      <c r="E299" s="895">
        <v>8913</v>
      </c>
      <c r="F299" s="1249"/>
    </row>
    <row r="300" spans="3:6" ht="14.15" customHeight="1" hidden="1">
      <c r="C300" s="891">
        <v>40837</v>
      </c>
      <c r="D300" s="974">
        <v>116.08</v>
      </c>
      <c r="E300" s="895">
        <v>8913</v>
      </c>
      <c r="F300" s="1249"/>
    </row>
    <row r="301" spans="3:6" ht="14.15" customHeight="1" hidden="1">
      <c r="C301" s="891">
        <v>40838</v>
      </c>
      <c r="D301" s="974">
        <v>116.08</v>
      </c>
      <c r="E301" s="895">
        <v>8913</v>
      </c>
      <c r="F301" s="1249"/>
    </row>
    <row r="302" spans="3:6" ht="14.15" customHeight="1" hidden="1">
      <c r="C302" s="891">
        <v>40839</v>
      </c>
      <c r="D302" s="974">
        <v>116.08</v>
      </c>
      <c r="E302" s="895">
        <v>8913</v>
      </c>
      <c r="F302" s="1249"/>
    </row>
    <row r="303" spans="3:6" ht="14.15" customHeight="1" hidden="1">
      <c r="C303" s="891">
        <v>40840</v>
      </c>
      <c r="D303" s="974">
        <v>115.23</v>
      </c>
      <c r="E303" s="895">
        <v>8851</v>
      </c>
      <c r="F303" s="1249"/>
    </row>
    <row r="304" spans="3:6" ht="14.15" customHeight="1" hidden="1">
      <c r="C304" s="891">
        <v>40841</v>
      </c>
      <c r="D304" s="974">
        <v>115.23</v>
      </c>
      <c r="E304" s="895">
        <v>8851</v>
      </c>
      <c r="F304" s="1249"/>
    </row>
    <row r="305" spans="3:6" ht="14.15" customHeight="1" hidden="1">
      <c r="C305" s="891">
        <v>40842</v>
      </c>
      <c r="D305" s="974">
        <v>115.23</v>
      </c>
      <c r="E305" s="895">
        <v>8851</v>
      </c>
      <c r="F305" s="1249"/>
    </row>
    <row r="306" spans="3:6" ht="14.15" customHeight="1" hidden="1">
      <c r="C306" s="891">
        <v>40843</v>
      </c>
      <c r="D306" s="974">
        <v>115.23</v>
      </c>
      <c r="E306" s="895">
        <v>8851</v>
      </c>
      <c r="F306" s="1249"/>
    </row>
    <row r="307" spans="3:6" ht="14.15" customHeight="1" hidden="1">
      <c r="C307" s="891">
        <v>40844</v>
      </c>
      <c r="D307" s="974">
        <v>115.23</v>
      </c>
      <c r="E307" s="895">
        <v>8851</v>
      </c>
      <c r="F307" s="1249"/>
    </row>
    <row r="308" spans="3:6" ht="14.15" customHeight="1" hidden="1">
      <c r="C308" s="891">
        <v>40845</v>
      </c>
      <c r="D308" s="974">
        <v>115.23</v>
      </c>
      <c r="E308" s="895">
        <v>8851</v>
      </c>
      <c r="F308" s="1249"/>
    </row>
    <row r="309" spans="3:6" ht="14.15" customHeight="1" hidden="1">
      <c r="C309" s="891">
        <v>40846</v>
      </c>
      <c r="D309" s="974">
        <v>115.23</v>
      </c>
      <c r="E309" s="895">
        <v>8851</v>
      </c>
      <c r="F309" s="1249"/>
    </row>
    <row r="310" spans="3:6" ht="14.15" customHeight="1" hidden="1">
      <c r="C310" s="891">
        <v>40847</v>
      </c>
      <c r="D310" s="974">
        <v>116.35</v>
      </c>
      <c r="E310" s="895">
        <v>8848</v>
      </c>
      <c r="F310" s="1249"/>
    </row>
    <row r="311" spans="3:6" ht="14.15" customHeight="1" hidden="1">
      <c r="C311" s="891">
        <v>40848</v>
      </c>
      <c r="D311" s="974">
        <v>116.35</v>
      </c>
      <c r="E311" s="895">
        <v>8848</v>
      </c>
      <c r="F311" s="1249"/>
    </row>
    <row r="312" spans="3:6" ht="14.15" customHeight="1" hidden="1">
      <c r="C312" s="891">
        <v>40849</v>
      </c>
      <c r="D312" s="974">
        <v>116.35</v>
      </c>
      <c r="E312" s="895">
        <v>8848</v>
      </c>
      <c r="F312" s="1249"/>
    </row>
    <row r="313" spans="3:6" ht="14.15" customHeight="1" hidden="1">
      <c r="C313" s="891">
        <v>40850</v>
      </c>
      <c r="D313" s="974">
        <v>116.35</v>
      </c>
      <c r="E313" s="895">
        <v>8848</v>
      </c>
      <c r="F313" s="1249"/>
    </row>
    <row r="314" spans="3:6" ht="14.15" customHeight="1" hidden="1">
      <c r="C314" s="891">
        <v>40851</v>
      </c>
      <c r="D314" s="974">
        <v>116.35</v>
      </c>
      <c r="E314" s="895">
        <v>8848</v>
      </c>
      <c r="F314" s="1249"/>
    </row>
    <row r="315" spans="3:6" ht="14.15" customHeight="1" hidden="1">
      <c r="C315" s="891">
        <v>40852</v>
      </c>
      <c r="D315" s="974">
        <v>116.35</v>
      </c>
      <c r="E315" s="895">
        <v>8848</v>
      </c>
      <c r="F315" s="1249"/>
    </row>
    <row r="316" spans="3:6" ht="14.15" customHeight="1" hidden="1">
      <c r="C316" s="891">
        <v>40853</v>
      </c>
      <c r="D316" s="974">
        <v>116.35</v>
      </c>
      <c r="E316" s="895">
        <v>8848</v>
      </c>
      <c r="F316" s="1249"/>
    </row>
    <row r="317" spans="3:6" ht="14.15" customHeight="1" hidden="1">
      <c r="C317" s="891">
        <v>40854</v>
      </c>
      <c r="D317" s="974">
        <v>114.42</v>
      </c>
      <c r="E317" s="895">
        <v>8940</v>
      </c>
      <c r="F317" s="1249"/>
    </row>
    <row r="318" spans="3:6" ht="14.15" customHeight="1" hidden="1">
      <c r="C318" s="891">
        <v>40855</v>
      </c>
      <c r="D318" s="974">
        <v>114.42</v>
      </c>
      <c r="E318" s="895">
        <v>8940</v>
      </c>
      <c r="F318" s="1249"/>
    </row>
    <row r="319" spans="3:6" ht="14.15" customHeight="1" hidden="1">
      <c r="C319" s="891">
        <v>40856</v>
      </c>
      <c r="D319" s="974">
        <v>114.42</v>
      </c>
      <c r="E319" s="895">
        <v>8940</v>
      </c>
      <c r="F319" s="1249"/>
    </row>
    <row r="320" spans="3:6" ht="14.15" customHeight="1" hidden="1">
      <c r="C320" s="891">
        <v>40857</v>
      </c>
      <c r="D320" s="974">
        <v>114.42</v>
      </c>
      <c r="E320" s="895">
        <v>8940</v>
      </c>
      <c r="F320" s="1249"/>
    </row>
    <row r="321" spans="3:6" ht="14.15" customHeight="1" hidden="1">
      <c r="C321" s="891">
        <v>40858</v>
      </c>
      <c r="D321" s="974">
        <v>114.42</v>
      </c>
      <c r="E321" s="895">
        <v>8940</v>
      </c>
      <c r="F321" s="1249"/>
    </row>
    <row r="322" spans="3:6" ht="14.15" customHeight="1" hidden="1">
      <c r="C322" s="891">
        <v>40859</v>
      </c>
      <c r="D322" s="974">
        <v>114.42</v>
      </c>
      <c r="E322" s="895">
        <v>8940</v>
      </c>
      <c r="F322" s="1249"/>
    </row>
    <row r="323" spans="3:6" ht="14.15" customHeight="1" hidden="1">
      <c r="C323" s="891">
        <v>40860</v>
      </c>
      <c r="D323" s="974">
        <v>114.42</v>
      </c>
      <c r="E323" s="895">
        <v>8940</v>
      </c>
      <c r="F323" s="1249"/>
    </row>
    <row r="324" spans="3:6" ht="14.15" customHeight="1" hidden="1">
      <c r="C324" s="891">
        <v>40861</v>
      </c>
      <c r="D324" s="974">
        <v>115.15</v>
      </c>
      <c r="E324" s="895">
        <v>8954</v>
      </c>
      <c r="F324" s="1249"/>
    </row>
    <row r="325" spans="3:6" ht="14.15" customHeight="1" hidden="1">
      <c r="C325" s="891">
        <v>40862</v>
      </c>
      <c r="D325" s="974">
        <v>115.15</v>
      </c>
      <c r="E325" s="895">
        <v>8954</v>
      </c>
      <c r="F325" s="1249"/>
    </row>
    <row r="326" spans="3:6" ht="14.15" customHeight="1" hidden="1">
      <c r="C326" s="891">
        <v>40863</v>
      </c>
      <c r="D326" s="974">
        <v>115.15</v>
      </c>
      <c r="E326" s="895">
        <v>8954</v>
      </c>
      <c r="F326" s="1249"/>
    </row>
    <row r="327" spans="3:6" ht="14.15" customHeight="1" hidden="1">
      <c r="C327" s="891">
        <v>40864</v>
      </c>
      <c r="D327" s="974">
        <v>115.15</v>
      </c>
      <c r="E327" s="895">
        <v>8954</v>
      </c>
      <c r="F327" s="1249"/>
    </row>
    <row r="328" spans="3:6" ht="14.15" customHeight="1" hidden="1">
      <c r="C328" s="891">
        <v>40865</v>
      </c>
      <c r="D328" s="974">
        <v>115.15</v>
      </c>
      <c r="E328" s="895">
        <v>8954</v>
      </c>
      <c r="F328" s="1249"/>
    </row>
    <row r="329" spans="3:6" ht="14.15" customHeight="1" hidden="1">
      <c r="C329" s="891">
        <v>40866</v>
      </c>
      <c r="D329" s="974">
        <v>115.15</v>
      </c>
      <c r="E329" s="895">
        <v>8954</v>
      </c>
      <c r="F329" s="1249"/>
    </row>
    <row r="330" spans="3:6" ht="14.15" customHeight="1" hidden="1">
      <c r="C330" s="891">
        <v>40867</v>
      </c>
      <c r="D330" s="974">
        <v>115.15</v>
      </c>
      <c r="E330" s="895">
        <v>8954</v>
      </c>
      <c r="F330" s="1249"/>
    </row>
    <row r="331" spans="3:6" ht="14.15" customHeight="1" hidden="1">
      <c r="C331" s="891">
        <v>40868</v>
      </c>
      <c r="D331" s="974">
        <v>116.71</v>
      </c>
      <c r="E331" s="895">
        <v>8990</v>
      </c>
      <c r="F331" s="1249"/>
    </row>
    <row r="332" spans="3:6" ht="14.15" customHeight="1" hidden="1">
      <c r="C332" s="891">
        <v>40869</v>
      </c>
      <c r="D332" s="974">
        <v>116.71</v>
      </c>
      <c r="E332" s="895">
        <v>8990</v>
      </c>
      <c r="F332" s="1249"/>
    </row>
    <row r="333" spans="3:6" ht="14.15" customHeight="1" hidden="1">
      <c r="C333" s="891">
        <v>40870</v>
      </c>
      <c r="D333" s="974">
        <v>116.71</v>
      </c>
      <c r="E333" s="895">
        <v>8990</v>
      </c>
      <c r="F333" s="1249"/>
    </row>
    <row r="334" spans="3:6" ht="14.15" customHeight="1" hidden="1">
      <c r="C334" s="891">
        <v>40871</v>
      </c>
      <c r="D334" s="974">
        <v>116.71</v>
      </c>
      <c r="E334" s="895">
        <v>8990</v>
      </c>
      <c r="F334" s="1249"/>
    </row>
    <row r="335" spans="3:6" ht="14.15" customHeight="1" hidden="1">
      <c r="C335" s="891">
        <v>40872</v>
      </c>
      <c r="D335" s="974">
        <v>116.71</v>
      </c>
      <c r="E335" s="895">
        <v>8990</v>
      </c>
      <c r="F335" s="1249"/>
    </row>
    <row r="336" spans="3:6" ht="14.15" customHeight="1" hidden="1">
      <c r="C336" s="891">
        <v>40873</v>
      </c>
      <c r="D336" s="974">
        <v>116.71</v>
      </c>
      <c r="E336" s="895">
        <v>8990</v>
      </c>
      <c r="F336" s="1249"/>
    </row>
    <row r="337" spans="3:6" ht="14.15" customHeight="1" hidden="1">
      <c r="C337" s="891">
        <v>40874</v>
      </c>
      <c r="D337" s="974">
        <v>116.71</v>
      </c>
      <c r="E337" s="895">
        <v>8990</v>
      </c>
      <c r="F337" s="1249"/>
    </row>
    <row r="338" spans="3:6" ht="14.15" customHeight="1" hidden="1">
      <c r="C338" s="891">
        <v>40875</v>
      </c>
      <c r="D338" s="974">
        <v>117.22</v>
      </c>
      <c r="E338" s="895">
        <v>9043</v>
      </c>
      <c r="F338" s="1249"/>
    </row>
    <row r="339" spans="3:6" ht="14.15" customHeight="1" hidden="1">
      <c r="C339" s="891">
        <v>40876</v>
      </c>
      <c r="D339" s="974">
        <v>117.22</v>
      </c>
      <c r="E339" s="895">
        <v>9043</v>
      </c>
      <c r="F339" s="1249"/>
    </row>
    <row r="340" spans="3:6" ht="14.15" customHeight="1" hidden="1">
      <c r="C340" s="891">
        <v>40877</v>
      </c>
      <c r="D340" s="974">
        <v>117.22</v>
      </c>
      <c r="E340" s="895">
        <v>9043</v>
      </c>
      <c r="F340" s="1249"/>
    </row>
    <row r="341" spans="3:6" ht="14.15" customHeight="1" hidden="1">
      <c r="C341" s="891">
        <v>40878</v>
      </c>
      <c r="D341" s="974">
        <v>117.22</v>
      </c>
      <c r="E341" s="895">
        <v>9043</v>
      </c>
      <c r="F341" s="1249"/>
    </row>
    <row r="342" spans="3:6" ht="14.15" customHeight="1" hidden="1">
      <c r="C342" s="891">
        <v>40879</v>
      </c>
      <c r="D342" s="974">
        <v>117.22</v>
      </c>
      <c r="E342" s="895">
        <v>9043</v>
      </c>
      <c r="F342" s="1249"/>
    </row>
    <row r="343" spans="3:6" ht="14.15" customHeight="1" hidden="1">
      <c r="C343" s="891">
        <v>40880</v>
      </c>
      <c r="D343" s="974">
        <v>117.22</v>
      </c>
      <c r="E343" s="895">
        <v>9043</v>
      </c>
      <c r="F343" s="1249"/>
    </row>
    <row r="344" spans="3:6" ht="14.15" customHeight="1" hidden="1">
      <c r="C344" s="891">
        <v>40881</v>
      </c>
      <c r="D344" s="974">
        <v>117.22</v>
      </c>
      <c r="E344" s="895">
        <v>9043</v>
      </c>
      <c r="F344" s="1249"/>
    </row>
    <row r="345" spans="3:6" ht="14.15" customHeight="1" hidden="1">
      <c r="C345" s="891">
        <v>40882</v>
      </c>
      <c r="D345" s="974">
        <v>116.9</v>
      </c>
      <c r="E345" s="895">
        <v>9096</v>
      </c>
      <c r="F345" s="1249"/>
    </row>
    <row r="346" spans="3:6" ht="14.15" customHeight="1" hidden="1">
      <c r="C346" s="891">
        <v>40883</v>
      </c>
      <c r="D346" s="974">
        <v>116.9</v>
      </c>
      <c r="E346" s="895">
        <v>9096</v>
      </c>
      <c r="F346" s="1249"/>
    </row>
    <row r="347" spans="3:6" ht="14.15" customHeight="1" hidden="1">
      <c r="C347" s="891">
        <v>40884</v>
      </c>
      <c r="D347" s="974">
        <v>116.9</v>
      </c>
      <c r="E347" s="895">
        <v>9096</v>
      </c>
      <c r="F347" s="1249"/>
    </row>
    <row r="348" spans="3:6" ht="14.15" customHeight="1" hidden="1">
      <c r="C348" s="891">
        <v>40885</v>
      </c>
      <c r="D348" s="974">
        <v>116.9</v>
      </c>
      <c r="E348" s="895">
        <v>9096</v>
      </c>
      <c r="F348" s="1249"/>
    </row>
    <row r="349" spans="3:6" ht="14.15" customHeight="1" hidden="1">
      <c r="C349" s="891">
        <v>40886</v>
      </c>
      <c r="D349" s="974">
        <v>116.9</v>
      </c>
      <c r="E349" s="895">
        <v>9096</v>
      </c>
      <c r="F349" s="1249"/>
    </row>
    <row r="350" spans="3:6" ht="14.15" customHeight="1" hidden="1">
      <c r="C350" s="891">
        <v>40887</v>
      </c>
      <c r="D350" s="974">
        <v>116.9</v>
      </c>
      <c r="E350" s="895">
        <v>9096</v>
      </c>
      <c r="F350" s="1249"/>
    </row>
    <row r="351" spans="3:6" ht="14.15" customHeight="1" hidden="1">
      <c r="C351" s="891">
        <v>40888</v>
      </c>
      <c r="D351" s="974">
        <v>116.9</v>
      </c>
      <c r="E351" s="895">
        <v>9096</v>
      </c>
      <c r="F351" s="1249"/>
    </row>
    <row r="352" spans="3:6" ht="14.15" customHeight="1" hidden="1">
      <c r="C352" s="891">
        <v>40889</v>
      </c>
      <c r="D352" s="974">
        <v>116.3</v>
      </c>
      <c r="E352" s="895">
        <v>9039</v>
      </c>
      <c r="F352" s="1249"/>
    </row>
    <row r="353" spans="3:6" ht="14.15" customHeight="1" hidden="1">
      <c r="C353" s="891">
        <v>40890</v>
      </c>
      <c r="D353" s="974">
        <v>116.3</v>
      </c>
      <c r="E353" s="895">
        <v>9039</v>
      </c>
      <c r="F353" s="1249"/>
    </row>
    <row r="354" spans="3:6" ht="14.15" customHeight="1" hidden="1">
      <c r="C354" s="891">
        <v>40891</v>
      </c>
      <c r="D354" s="974">
        <v>116.3</v>
      </c>
      <c r="E354" s="895">
        <v>9039</v>
      </c>
      <c r="F354" s="1249"/>
    </row>
    <row r="355" spans="3:6" ht="14.15" customHeight="1" hidden="1">
      <c r="C355" s="891">
        <v>40892</v>
      </c>
      <c r="D355" s="974">
        <v>116.3</v>
      </c>
      <c r="E355" s="895">
        <v>9039</v>
      </c>
      <c r="F355" s="1249"/>
    </row>
    <row r="356" spans="3:6" ht="14.15" customHeight="1" hidden="1">
      <c r="C356" s="891">
        <v>40893</v>
      </c>
      <c r="D356" s="974">
        <v>116.3</v>
      </c>
      <c r="E356" s="895">
        <v>9039</v>
      </c>
      <c r="F356" s="1249"/>
    </row>
    <row r="357" spans="3:6" ht="14.15" customHeight="1" hidden="1">
      <c r="C357" s="891">
        <v>40894</v>
      </c>
      <c r="D357" s="974">
        <v>116.3</v>
      </c>
      <c r="E357" s="895">
        <v>9039</v>
      </c>
      <c r="F357" s="1249"/>
    </row>
    <row r="358" spans="3:6" ht="14.15" customHeight="1" hidden="1">
      <c r="C358" s="891">
        <v>40895</v>
      </c>
      <c r="D358" s="974">
        <v>116.3</v>
      </c>
      <c r="E358" s="895">
        <v>9039</v>
      </c>
      <c r="F358" s="1249"/>
    </row>
    <row r="359" spans="3:6" ht="14.15" customHeight="1" hidden="1">
      <c r="C359" s="891">
        <v>40896</v>
      </c>
      <c r="D359" s="974">
        <v>116.57</v>
      </c>
      <c r="E359" s="895">
        <v>9095</v>
      </c>
      <c r="F359" s="1249"/>
    </row>
    <row r="360" spans="3:6" ht="14.15" customHeight="1" hidden="1">
      <c r="C360" s="891">
        <v>40897</v>
      </c>
      <c r="D360" s="974">
        <v>116.57</v>
      </c>
      <c r="E360" s="895">
        <v>9095</v>
      </c>
      <c r="F360" s="1249"/>
    </row>
    <row r="361" spans="3:6" ht="14.15" customHeight="1" hidden="1">
      <c r="C361" s="891">
        <v>40898</v>
      </c>
      <c r="D361" s="974">
        <v>116.57</v>
      </c>
      <c r="E361" s="895">
        <v>9095</v>
      </c>
      <c r="F361" s="1249"/>
    </row>
    <row r="362" spans="3:6" ht="14.15" customHeight="1" hidden="1">
      <c r="C362" s="891">
        <v>40899</v>
      </c>
      <c r="D362" s="974">
        <v>116.57</v>
      </c>
      <c r="E362" s="895">
        <v>9095</v>
      </c>
      <c r="F362" s="1249"/>
    </row>
    <row r="363" spans="3:6" ht="14.15" customHeight="1" hidden="1">
      <c r="C363" s="891">
        <v>40900</v>
      </c>
      <c r="D363" s="974">
        <v>116.57</v>
      </c>
      <c r="E363" s="895">
        <v>9095</v>
      </c>
      <c r="F363" s="1249"/>
    </row>
    <row r="364" spans="3:6" ht="14.15" customHeight="1" hidden="1">
      <c r="C364" s="891">
        <v>40901</v>
      </c>
      <c r="D364" s="974">
        <v>116.57</v>
      </c>
      <c r="E364" s="895">
        <v>9095</v>
      </c>
      <c r="F364" s="1249"/>
    </row>
    <row r="365" spans="3:6" ht="14.15" customHeight="1" hidden="1">
      <c r="C365" s="891">
        <v>40902</v>
      </c>
      <c r="D365" s="974">
        <v>116.57</v>
      </c>
      <c r="E365" s="895">
        <v>9095</v>
      </c>
      <c r="F365" s="1249"/>
    </row>
    <row r="366" spans="3:6" ht="14.15" customHeight="1" hidden="1">
      <c r="C366" s="891">
        <v>40903</v>
      </c>
      <c r="D366" s="974">
        <v>116.25</v>
      </c>
      <c r="E366" s="895">
        <v>9069</v>
      </c>
      <c r="F366" s="1249"/>
    </row>
    <row r="367" spans="3:6" ht="14.15" customHeight="1" hidden="1">
      <c r="C367" s="891">
        <v>40904</v>
      </c>
      <c r="D367" s="974">
        <v>116.25</v>
      </c>
      <c r="E367" s="895">
        <v>9069</v>
      </c>
      <c r="F367" s="1249"/>
    </row>
    <row r="368" spans="3:6" ht="14.15" customHeight="1" hidden="1">
      <c r="C368" s="891">
        <v>40905</v>
      </c>
      <c r="D368" s="974">
        <v>116.25</v>
      </c>
      <c r="E368" s="895">
        <v>9069</v>
      </c>
      <c r="F368" s="1249"/>
    </row>
    <row r="369" spans="3:6" ht="14.15" customHeight="1" hidden="1">
      <c r="C369" s="891">
        <v>40906</v>
      </c>
      <c r="D369" s="974">
        <v>116.25</v>
      </c>
      <c r="E369" s="895">
        <v>9069</v>
      </c>
      <c r="F369" s="1249"/>
    </row>
    <row r="370" spans="3:6" ht="14.15" customHeight="1" hidden="1">
      <c r="C370" s="891">
        <v>40907</v>
      </c>
      <c r="D370" s="974">
        <v>116.25</v>
      </c>
      <c r="E370" s="895">
        <v>9069</v>
      </c>
      <c r="F370" s="1249"/>
    </row>
    <row r="371" spans="3:6" ht="14.15" customHeight="1" hidden="1">
      <c r="C371" s="891">
        <v>40908</v>
      </c>
      <c r="D371" s="974">
        <v>116.25</v>
      </c>
      <c r="E371" s="895">
        <v>9069</v>
      </c>
      <c r="F371" s="1249"/>
    </row>
    <row r="372" spans="2:6" ht="14.15" customHeight="1" hidden="1">
      <c r="B372" s="1247" t="s">
        <v>516</v>
      </c>
      <c r="C372" s="891"/>
      <c r="D372" s="974"/>
      <c r="E372" s="895"/>
      <c r="F372" s="1249"/>
    </row>
    <row r="373" spans="3:6" ht="14.15" customHeight="1" hidden="1">
      <c r="C373" s="976" t="s">
        <v>599</v>
      </c>
      <c r="D373" s="361">
        <v>108.93</v>
      </c>
      <c r="E373" s="895">
        <v>8989.07</v>
      </c>
      <c r="F373" s="1249"/>
    </row>
    <row r="374" spans="3:6" ht="14.15" customHeight="1" hidden="1">
      <c r="C374" s="976" t="s">
        <v>600</v>
      </c>
      <c r="D374" s="361">
        <v>108.48</v>
      </c>
      <c r="E374" s="895">
        <v>8922.57</v>
      </c>
      <c r="F374" s="1249"/>
    </row>
    <row r="375" spans="3:6" ht="14.15" customHeight="1" hidden="1">
      <c r="C375" s="976" t="s">
        <v>601</v>
      </c>
      <c r="D375" s="361">
        <v>107.41</v>
      </c>
      <c r="E375" s="895">
        <v>8864.42</v>
      </c>
      <c r="F375" s="1249"/>
    </row>
    <row r="376" spans="3:6" ht="14.15" customHeight="1" hidden="1">
      <c r="C376" s="976" t="s">
        <v>602</v>
      </c>
      <c r="D376" s="361">
        <v>106.95</v>
      </c>
      <c r="E376" s="895">
        <v>8798.78</v>
      </c>
      <c r="F376" s="1249"/>
    </row>
    <row r="377" spans="3:6" ht="14.15" customHeight="1" hidden="1">
      <c r="C377" s="976" t="s">
        <v>603</v>
      </c>
      <c r="D377" s="361">
        <v>106.85</v>
      </c>
      <c r="E377" s="895">
        <v>8761.7</v>
      </c>
      <c r="F377" s="1249"/>
    </row>
    <row r="378" spans="3:6" ht="14.15" customHeight="1" hidden="1">
      <c r="C378" s="976" t="s">
        <v>604</v>
      </c>
      <c r="D378" s="361">
        <v>106.86</v>
      </c>
      <c r="E378" s="895">
        <v>8734.17</v>
      </c>
      <c r="F378" s="1249"/>
    </row>
    <row r="379" spans="3:6" ht="14.15" customHeight="1" hidden="1">
      <c r="C379" s="976" t="s">
        <v>605</v>
      </c>
      <c r="D379" s="361">
        <v>107.35</v>
      </c>
      <c r="E379" s="895">
        <v>8704.18</v>
      </c>
      <c r="F379" s="1249"/>
    </row>
    <row r="380" spans="3:6" ht="14.15" customHeight="1" hidden="1">
      <c r="C380" s="976" t="s">
        <v>606</v>
      </c>
      <c r="D380" s="361">
        <v>107.8</v>
      </c>
      <c r="E380" s="895">
        <v>8712.44</v>
      </c>
      <c r="F380" s="1249"/>
    </row>
    <row r="381" spans="3:6" ht="14.15" customHeight="1" hidden="1">
      <c r="C381" s="976" t="s">
        <v>607</v>
      </c>
      <c r="D381" s="361">
        <v>108.81</v>
      </c>
      <c r="E381" s="895">
        <v>8735.58</v>
      </c>
      <c r="F381" s="1249"/>
    </row>
    <row r="382" spans="3:6" ht="14.15" customHeight="1" hidden="1">
      <c r="C382" s="976" t="s">
        <v>608</v>
      </c>
      <c r="D382" s="361">
        <v>109.42</v>
      </c>
      <c r="E382" s="895">
        <v>8756.98</v>
      </c>
      <c r="F382" s="1249"/>
    </row>
    <row r="383" spans="3:6" ht="14.15" customHeight="1" hidden="1">
      <c r="C383" s="976" t="s">
        <v>620</v>
      </c>
      <c r="D383" s="361">
        <v>109.99</v>
      </c>
      <c r="E383" s="895">
        <v>8782.4</v>
      </c>
      <c r="F383" s="1249"/>
    </row>
    <row r="384" spans="3:6" ht="14.15" customHeight="1" hidden="1">
      <c r="C384" s="976" t="s">
        <v>610</v>
      </c>
      <c r="D384" s="361">
        <v>110.05</v>
      </c>
      <c r="E384" s="895">
        <v>8754.4</v>
      </c>
      <c r="F384" s="1249"/>
    </row>
    <row r="385" spans="3:6" ht="14.15" customHeight="1" hidden="1">
      <c r="C385" s="976" t="s">
        <v>611</v>
      </c>
      <c r="D385" s="361">
        <v>110.22</v>
      </c>
      <c r="E385" s="895">
        <v>8737.04</v>
      </c>
      <c r="F385" s="1249"/>
    </row>
    <row r="386" spans="3:6" ht="14.15" customHeight="1" hidden="1">
      <c r="C386" s="976" t="s">
        <v>612</v>
      </c>
      <c r="D386" s="361">
        <v>110.52</v>
      </c>
      <c r="E386" s="895">
        <v>8733.16</v>
      </c>
      <c r="F386" s="1249"/>
    </row>
    <row r="387" spans="3:6" ht="14.15" customHeight="1" hidden="1">
      <c r="C387" s="976" t="s">
        <v>613</v>
      </c>
      <c r="D387" s="361">
        <v>111.32</v>
      </c>
      <c r="E387" s="895">
        <v>8740.15</v>
      </c>
      <c r="F387" s="1249"/>
    </row>
    <row r="388" spans="3:6" ht="14.15" customHeight="1" hidden="1">
      <c r="C388" s="976" t="s">
        <v>614</v>
      </c>
      <c r="D388" s="361">
        <v>112.38</v>
      </c>
      <c r="E388" s="895">
        <v>8769.54</v>
      </c>
      <c r="F388" s="1249"/>
    </row>
    <row r="389" spans="3:6" ht="14.15" customHeight="1" hidden="1">
      <c r="C389" s="976" t="s">
        <v>615</v>
      </c>
      <c r="D389" s="361">
        <v>113.4</v>
      </c>
      <c r="E389" s="895">
        <v>8804.83</v>
      </c>
      <c r="F389" s="1249"/>
    </row>
    <row r="390" spans="3:6" ht="14.15" customHeight="1" hidden="1">
      <c r="C390" s="976" t="s">
        <v>616</v>
      </c>
      <c r="D390" s="361">
        <v>114.69</v>
      </c>
      <c r="E390" s="895">
        <v>8854.75</v>
      </c>
      <c r="F390" s="1249"/>
    </row>
    <row r="391" spans="3:6" ht="14.15" customHeight="1" hidden="1">
      <c r="C391" s="976" t="s">
        <v>617</v>
      </c>
      <c r="D391" s="361">
        <v>116.14</v>
      </c>
      <c r="E391" s="895">
        <v>8964.93</v>
      </c>
      <c r="F391" s="1249"/>
    </row>
    <row r="392" spans="3:6" ht="14.15" customHeight="1" hidden="1">
      <c r="C392" s="976" t="s">
        <v>618</v>
      </c>
      <c r="D392" s="361">
        <v>116.23</v>
      </c>
      <c r="E392" s="895">
        <v>8981.54</v>
      </c>
      <c r="F392" s="1249"/>
    </row>
    <row r="393" spans="3:6" ht="14.15" customHeight="1" hidden="1">
      <c r="C393" s="976" t="s">
        <v>619</v>
      </c>
      <c r="D393" s="361">
        <v>116.19</v>
      </c>
      <c r="E393" s="895">
        <v>9028.25</v>
      </c>
      <c r="F393" s="1249"/>
    </row>
    <row r="394" spans="2:6" ht="14.15" customHeight="1" hidden="1">
      <c r="B394" s="1247" t="s">
        <v>517</v>
      </c>
      <c r="C394" s="976"/>
      <c r="D394" s="974"/>
      <c r="E394" s="895"/>
      <c r="F394" s="1249"/>
    </row>
    <row r="395" spans="3:6" ht="14.15" customHeight="1" hidden="1">
      <c r="C395" s="892" t="s">
        <v>523</v>
      </c>
      <c r="D395" s="361">
        <v>109.4</v>
      </c>
      <c r="E395" s="895">
        <v>9034.48</v>
      </c>
      <c r="F395" s="1249"/>
    </row>
    <row r="396" spans="3:6" ht="14.15" customHeight="1" hidden="1">
      <c r="C396" s="892" t="s">
        <v>524</v>
      </c>
      <c r="D396" s="361">
        <v>108.33</v>
      </c>
      <c r="E396" s="895">
        <v>8932.31</v>
      </c>
      <c r="F396" s="1249"/>
    </row>
    <row r="397" spans="3:6" ht="14.15" customHeight="1" hidden="1">
      <c r="C397" s="892" t="s">
        <v>525</v>
      </c>
      <c r="D397" s="361">
        <v>107.47</v>
      </c>
      <c r="E397" s="895">
        <v>8772.95</v>
      </c>
      <c r="F397" s="1249"/>
    </row>
    <row r="398" spans="3:6" ht="14.15" customHeight="1" hidden="1">
      <c r="C398" s="892" t="s">
        <v>526</v>
      </c>
      <c r="D398" s="361">
        <v>103.94</v>
      </c>
      <c r="E398" s="895">
        <v>8675.44</v>
      </c>
      <c r="F398" s="1249"/>
    </row>
    <row r="399" spans="3:6" ht="14.15" customHeight="1" hidden="1">
      <c r="C399" s="892" t="s">
        <v>527</v>
      </c>
      <c r="D399" s="361">
        <v>105.39</v>
      </c>
      <c r="E399" s="895">
        <v>8575.6</v>
      </c>
      <c r="F399" s="1249"/>
    </row>
    <row r="400" spans="3:6" ht="14.15" customHeight="1" hidden="1">
      <c r="C400" s="892" t="s">
        <v>528</v>
      </c>
      <c r="D400" s="361">
        <v>106.27</v>
      </c>
      <c r="E400" s="895">
        <v>8557.75</v>
      </c>
      <c r="F400" s="1249"/>
    </row>
    <row r="401" spans="3:6" ht="14.15" customHeight="1" hidden="1">
      <c r="C401" s="892" t="s">
        <v>529</v>
      </c>
      <c r="D401" s="361">
        <v>106.92</v>
      </c>
      <c r="E401" s="895">
        <v>8555.25</v>
      </c>
      <c r="F401" s="1249"/>
    </row>
    <row r="402" spans="3:6" ht="14.15" customHeight="1" hidden="1">
      <c r="C402" s="892" t="s">
        <v>530</v>
      </c>
      <c r="D402" s="361">
        <v>110.34</v>
      </c>
      <c r="E402" s="895">
        <v>8524.2</v>
      </c>
      <c r="F402" s="1249"/>
    </row>
    <row r="403" spans="3:6" ht="14.15" customHeight="1" hidden="1">
      <c r="C403" s="892" t="s">
        <v>531</v>
      </c>
      <c r="D403" s="361">
        <v>115.58</v>
      </c>
      <c r="E403" s="895">
        <v>8857</v>
      </c>
      <c r="F403" s="1249"/>
    </row>
    <row r="404" spans="3:6" ht="14.15" customHeight="1" hidden="1">
      <c r="C404" s="892" t="s">
        <v>532</v>
      </c>
      <c r="D404" s="361">
        <v>116.29</v>
      </c>
      <c r="E404" s="895">
        <v>8906.8</v>
      </c>
      <c r="F404" s="1249"/>
    </row>
    <row r="405" spans="3:6" ht="14.15" customHeight="1" hidden="1">
      <c r="C405" s="892" t="s">
        <v>533</v>
      </c>
      <c r="D405" s="361">
        <v>115.88</v>
      </c>
      <c r="E405" s="895">
        <v>8981.75</v>
      </c>
      <c r="F405" s="1249"/>
    </row>
    <row r="406" spans="3:6" ht="14.15" customHeight="1" hidden="1">
      <c r="C406" s="892" t="s">
        <v>534</v>
      </c>
      <c r="D406" s="361">
        <v>116.51</v>
      </c>
      <c r="E406" s="895">
        <v>9074.75</v>
      </c>
      <c r="F406" s="1249"/>
    </row>
    <row r="407" spans="3:6" ht="14.15" customHeight="1" hidden="1">
      <c r="C407" s="892"/>
      <c r="D407" s="361"/>
      <c r="E407" s="895"/>
      <c r="F407" s="1249"/>
    </row>
    <row r="408" spans="1:6">
      <c r="A408" s="1247" t="s">
        <v>518</v>
      </c>
      <c r="C408" s="976"/>
      <c r="D408" s="974"/>
      <c r="E408" s="895"/>
      <c r="F408" s="1249"/>
    </row>
    <row r="409" spans="1:6" hidden="1">
      <c r="A409" s="1247"/>
      <c r="B409" s="1247" t="s">
        <v>519</v>
      </c>
      <c r="C409" s="976"/>
      <c r="D409" s="974"/>
      <c r="E409" s="895"/>
      <c r="F409" s="1249"/>
    </row>
    <row r="410" spans="3:6" hidden="1">
      <c r="C410" s="891">
        <v>40909</v>
      </c>
      <c r="D410" s="974">
        <v>11.25</v>
      </c>
      <c r="E410" s="895">
        <v>9069</v>
      </c>
      <c r="F410" s="1249"/>
    </row>
    <row r="411" spans="3:6" hidden="1">
      <c r="C411" s="891">
        <v>40910</v>
      </c>
      <c r="D411" s="974">
        <v>116.63</v>
      </c>
      <c r="E411" s="977">
        <v>9076</v>
      </c>
      <c r="F411" s="1249"/>
    </row>
    <row r="412" spans="3:6" hidden="1">
      <c r="C412" s="891">
        <v>40911</v>
      </c>
      <c r="D412" s="974">
        <v>116.63</v>
      </c>
      <c r="E412" s="977">
        <v>9076</v>
      </c>
      <c r="F412" s="1249"/>
    </row>
    <row r="413" spans="3:6" hidden="1">
      <c r="C413" s="891">
        <v>40912</v>
      </c>
      <c r="D413" s="974">
        <v>116.63</v>
      </c>
      <c r="E413" s="977">
        <v>9076</v>
      </c>
      <c r="F413" s="1249"/>
    </row>
    <row r="414" spans="3:6" hidden="1">
      <c r="C414" s="891">
        <v>40913</v>
      </c>
      <c r="D414" s="974">
        <v>116.63</v>
      </c>
      <c r="E414" s="977">
        <v>9076</v>
      </c>
      <c r="F414" s="1249"/>
    </row>
    <row r="415" spans="3:6" hidden="1">
      <c r="C415" s="891">
        <v>40914</v>
      </c>
      <c r="D415" s="974">
        <v>116.63</v>
      </c>
      <c r="E415" s="977">
        <v>9076</v>
      </c>
      <c r="F415" s="1249"/>
    </row>
    <row r="416" spans="3:6" hidden="1">
      <c r="C416" s="891">
        <v>40915</v>
      </c>
      <c r="D416" s="974">
        <v>116.63</v>
      </c>
      <c r="E416" s="977">
        <v>9076</v>
      </c>
      <c r="F416" s="1249"/>
    </row>
    <row r="417" spans="3:6" hidden="1">
      <c r="C417" s="891">
        <v>40916</v>
      </c>
      <c r="D417" s="974">
        <v>116.63</v>
      </c>
      <c r="E417" s="977">
        <v>9076</v>
      </c>
      <c r="F417" s="1249"/>
    </row>
    <row r="418" spans="3:6" hidden="1">
      <c r="C418" s="891">
        <v>40917</v>
      </c>
      <c r="D418" s="974">
        <v>118.85</v>
      </c>
      <c r="E418" s="977">
        <v>9136</v>
      </c>
      <c r="F418" s="1249"/>
    </row>
    <row r="419" spans="3:6" hidden="1">
      <c r="C419" s="891">
        <v>40918</v>
      </c>
      <c r="D419" s="974">
        <v>118.85</v>
      </c>
      <c r="E419" s="977">
        <v>9136</v>
      </c>
      <c r="F419" s="1249"/>
    </row>
    <row r="420" spans="3:6" hidden="1">
      <c r="C420" s="891">
        <v>40919</v>
      </c>
      <c r="D420" s="974">
        <v>118.85</v>
      </c>
      <c r="E420" s="977">
        <v>9136</v>
      </c>
      <c r="F420" s="1249"/>
    </row>
    <row r="421" spans="3:6" hidden="1">
      <c r="C421" s="891">
        <v>40920</v>
      </c>
      <c r="D421" s="974">
        <v>118.85</v>
      </c>
      <c r="E421" s="977">
        <v>9136</v>
      </c>
      <c r="F421" s="1249"/>
    </row>
    <row r="422" spans="3:6" hidden="1">
      <c r="C422" s="891">
        <v>40921</v>
      </c>
      <c r="D422" s="974">
        <v>118.85</v>
      </c>
      <c r="E422" s="977">
        <v>9136</v>
      </c>
      <c r="F422" s="1249"/>
    </row>
    <row r="423" spans="3:6" hidden="1">
      <c r="C423" s="891">
        <v>40922</v>
      </c>
      <c r="D423" s="974">
        <v>118.85</v>
      </c>
      <c r="E423" s="977">
        <v>9136</v>
      </c>
      <c r="F423" s="1249"/>
    </row>
    <row r="424" spans="3:6" hidden="1">
      <c r="C424" s="891">
        <v>40923</v>
      </c>
      <c r="D424" s="974">
        <v>118.85</v>
      </c>
      <c r="E424" s="977">
        <v>9136</v>
      </c>
      <c r="F424" s="1249"/>
    </row>
    <row r="425" spans="3:6" hidden="1">
      <c r="C425" s="891">
        <v>40924</v>
      </c>
      <c r="D425" s="974">
        <v>119.45</v>
      </c>
      <c r="E425" s="977">
        <v>9177</v>
      </c>
      <c r="F425" s="1249"/>
    </row>
    <row r="426" spans="3:6" hidden="1">
      <c r="C426" s="891">
        <v>40925</v>
      </c>
      <c r="D426" s="974">
        <v>119.45</v>
      </c>
      <c r="E426" s="977">
        <v>9177</v>
      </c>
      <c r="F426" s="1249"/>
    </row>
    <row r="427" spans="3:6" hidden="1">
      <c r="C427" s="891">
        <v>40926</v>
      </c>
      <c r="D427" s="974">
        <v>119.45</v>
      </c>
      <c r="E427" s="977">
        <v>9177</v>
      </c>
      <c r="F427" s="1249"/>
    </row>
    <row r="428" spans="3:6" hidden="1">
      <c r="C428" s="891">
        <v>40927</v>
      </c>
      <c r="D428" s="974">
        <v>119.45</v>
      </c>
      <c r="E428" s="977">
        <v>9177</v>
      </c>
      <c r="F428" s="1249"/>
    </row>
    <row r="429" spans="3:6" hidden="1">
      <c r="C429" s="891">
        <v>40928</v>
      </c>
      <c r="D429" s="974">
        <v>119.45</v>
      </c>
      <c r="E429" s="977">
        <v>9177</v>
      </c>
      <c r="F429" s="1249"/>
    </row>
    <row r="430" spans="3:6" hidden="1">
      <c r="C430" s="891">
        <v>40929</v>
      </c>
      <c r="D430" s="974">
        <v>119.45</v>
      </c>
      <c r="E430" s="977">
        <v>9177</v>
      </c>
      <c r="F430" s="1249"/>
    </row>
    <row r="431" spans="3:6" hidden="1">
      <c r="C431" s="891">
        <v>40930</v>
      </c>
      <c r="D431" s="974">
        <v>119.45</v>
      </c>
      <c r="E431" s="977">
        <v>9177</v>
      </c>
      <c r="F431" s="1249"/>
    </row>
    <row r="432" spans="3:6" hidden="1">
      <c r="C432" s="891">
        <v>40931</v>
      </c>
      <c r="D432" s="974">
        <v>117.74</v>
      </c>
      <c r="E432" s="977">
        <v>9060</v>
      </c>
      <c r="F432" s="1249"/>
    </row>
    <row r="433" spans="3:6" hidden="1">
      <c r="C433" s="891">
        <v>40932</v>
      </c>
      <c r="D433" s="974">
        <v>117.74</v>
      </c>
      <c r="E433" s="977">
        <v>9060</v>
      </c>
      <c r="F433" s="1249"/>
    </row>
    <row r="434" spans="3:6" hidden="1">
      <c r="C434" s="891">
        <v>40933</v>
      </c>
      <c r="D434" s="974">
        <v>117.74</v>
      </c>
      <c r="E434" s="977">
        <v>9060</v>
      </c>
      <c r="F434" s="1249"/>
    </row>
    <row r="435" spans="3:6" hidden="1">
      <c r="C435" s="891">
        <v>40934</v>
      </c>
      <c r="D435" s="974">
        <v>117.74</v>
      </c>
      <c r="E435" s="977">
        <v>9060</v>
      </c>
      <c r="F435" s="1249"/>
    </row>
    <row r="436" spans="3:6" hidden="1">
      <c r="C436" s="891">
        <v>40935</v>
      </c>
      <c r="D436" s="974">
        <v>117.74</v>
      </c>
      <c r="E436" s="977">
        <v>9060</v>
      </c>
      <c r="F436" s="1249"/>
    </row>
    <row r="437" spans="3:6" hidden="1">
      <c r="C437" s="891">
        <v>40936</v>
      </c>
      <c r="D437" s="974">
        <v>117.74</v>
      </c>
      <c r="E437" s="977">
        <v>9060</v>
      </c>
      <c r="F437" s="1249"/>
    </row>
    <row r="438" spans="3:6" hidden="1">
      <c r="C438" s="891">
        <v>40937</v>
      </c>
      <c r="D438" s="974">
        <v>117.74</v>
      </c>
      <c r="E438" s="977">
        <v>9060</v>
      </c>
      <c r="F438" s="1249"/>
    </row>
    <row r="439" spans="3:6" hidden="1">
      <c r="C439" s="891">
        <v>40938</v>
      </c>
      <c r="D439" s="974">
        <v>115.56</v>
      </c>
      <c r="E439" s="977">
        <v>8952</v>
      </c>
      <c r="F439" s="1249"/>
    </row>
    <row r="440" spans="3:6" hidden="1">
      <c r="C440" s="891">
        <v>40939</v>
      </c>
      <c r="D440" s="974">
        <v>115.56</v>
      </c>
      <c r="E440" s="977">
        <v>8952</v>
      </c>
      <c r="F440" s="1249"/>
    </row>
    <row r="441" spans="3:6" hidden="1">
      <c r="C441" s="891">
        <v>40940</v>
      </c>
      <c r="D441" s="974">
        <v>115.56</v>
      </c>
      <c r="E441" s="977">
        <v>8952</v>
      </c>
      <c r="F441" s="1249"/>
    </row>
    <row r="442" spans="3:6" hidden="1">
      <c r="C442" s="891">
        <v>40941</v>
      </c>
      <c r="D442" s="974">
        <v>115.56</v>
      </c>
      <c r="E442" s="977">
        <v>8952</v>
      </c>
      <c r="F442" s="1249"/>
    </row>
    <row r="443" spans="3:6" hidden="1">
      <c r="C443" s="891">
        <v>40942</v>
      </c>
      <c r="D443" s="974">
        <v>115.56</v>
      </c>
      <c r="E443" s="977">
        <v>8952</v>
      </c>
      <c r="F443" s="1249"/>
    </row>
    <row r="444" spans="3:6" hidden="1">
      <c r="C444" s="891">
        <v>40943</v>
      </c>
      <c r="D444" s="974">
        <v>115.56</v>
      </c>
      <c r="E444" s="977">
        <v>8952</v>
      </c>
      <c r="F444" s="1249"/>
    </row>
    <row r="445" spans="3:6" hidden="1">
      <c r="C445" s="891">
        <v>40944</v>
      </c>
      <c r="D445" s="974">
        <v>115.56</v>
      </c>
      <c r="E445" s="977">
        <v>8952</v>
      </c>
      <c r="F445" s="1249"/>
    </row>
    <row r="446" spans="3:6" hidden="1">
      <c r="C446" s="891">
        <v>40945</v>
      </c>
      <c r="D446" s="974">
        <v>117.73</v>
      </c>
      <c r="E446" s="977">
        <v>8977</v>
      </c>
      <c r="F446" s="1249"/>
    </row>
    <row r="447" spans="3:6" hidden="1">
      <c r="C447" s="891">
        <v>40946</v>
      </c>
      <c r="D447" s="974">
        <v>117.73</v>
      </c>
      <c r="E447" s="977">
        <v>8977</v>
      </c>
      <c r="F447" s="1249"/>
    </row>
    <row r="448" spans="3:6" hidden="1">
      <c r="C448" s="891">
        <v>40947</v>
      </c>
      <c r="D448" s="974">
        <v>117.73</v>
      </c>
      <c r="E448" s="977">
        <v>8977</v>
      </c>
      <c r="F448" s="1249"/>
    </row>
    <row r="449" spans="3:6" hidden="1">
      <c r="C449" s="891">
        <v>40948</v>
      </c>
      <c r="D449" s="974">
        <v>117.73</v>
      </c>
      <c r="E449" s="977">
        <v>8977</v>
      </c>
      <c r="F449" s="1249"/>
    </row>
    <row r="450" spans="3:6" hidden="1">
      <c r="C450" s="891">
        <v>40949</v>
      </c>
      <c r="D450" s="974">
        <v>117.73</v>
      </c>
      <c r="E450" s="977">
        <v>8977</v>
      </c>
      <c r="F450" s="1249"/>
    </row>
    <row r="451" spans="3:6" hidden="1">
      <c r="C451" s="891">
        <v>40950</v>
      </c>
      <c r="D451" s="974">
        <v>117.73</v>
      </c>
      <c r="E451" s="977">
        <v>8977</v>
      </c>
      <c r="F451" s="1249"/>
    </row>
    <row r="452" spans="3:6" hidden="1">
      <c r="C452" s="891">
        <v>40951</v>
      </c>
      <c r="D452" s="974">
        <v>117.73</v>
      </c>
      <c r="E452" s="977">
        <v>8977</v>
      </c>
      <c r="F452" s="1249"/>
    </row>
    <row r="453" spans="3:6" hidden="1">
      <c r="C453" s="891">
        <v>40952</v>
      </c>
      <c r="D453" s="974">
        <v>116.28</v>
      </c>
      <c r="E453" s="977">
        <v>8966</v>
      </c>
      <c r="F453" s="1249"/>
    </row>
    <row r="454" spans="3:6" hidden="1">
      <c r="C454" s="891">
        <v>40953</v>
      </c>
      <c r="D454" s="974">
        <v>116.28</v>
      </c>
      <c r="E454" s="977">
        <v>8966</v>
      </c>
      <c r="F454" s="1249"/>
    </row>
    <row r="455" spans="3:6" hidden="1">
      <c r="C455" s="891">
        <v>40954</v>
      </c>
      <c r="D455" s="974">
        <v>116.28</v>
      </c>
      <c r="E455" s="977">
        <v>8966</v>
      </c>
      <c r="F455" s="1249"/>
    </row>
    <row r="456" spans="3:6" hidden="1">
      <c r="C456" s="891">
        <v>40955</v>
      </c>
      <c r="D456" s="974">
        <v>116.28</v>
      </c>
      <c r="E456" s="977">
        <v>8966</v>
      </c>
      <c r="F456" s="1249"/>
    </row>
    <row r="457" spans="3:6" hidden="1">
      <c r="C457" s="891">
        <v>40956</v>
      </c>
      <c r="D457" s="974">
        <v>116.28</v>
      </c>
      <c r="E457" s="977">
        <v>8966</v>
      </c>
      <c r="F457" s="1249"/>
    </row>
    <row r="458" spans="3:6" hidden="1">
      <c r="C458" s="891">
        <v>40957</v>
      </c>
      <c r="D458" s="974">
        <v>116.28</v>
      </c>
      <c r="E458" s="977">
        <v>8966</v>
      </c>
      <c r="F458" s="1249"/>
    </row>
    <row r="459" spans="3:6" hidden="1">
      <c r="C459" s="891">
        <v>40958</v>
      </c>
      <c r="D459" s="974">
        <v>116.28</v>
      </c>
      <c r="E459" s="977">
        <v>8966</v>
      </c>
      <c r="F459" s="1249"/>
    </row>
    <row r="460" spans="3:6" hidden="1">
      <c r="C460" s="891">
        <v>40959</v>
      </c>
      <c r="D460" s="974">
        <v>115.31</v>
      </c>
      <c r="E460" s="977">
        <v>9029</v>
      </c>
      <c r="F460" s="1249"/>
    </row>
    <row r="461" spans="3:6" hidden="1">
      <c r="C461" s="891">
        <v>40960</v>
      </c>
      <c r="D461" s="974">
        <v>115.31</v>
      </c>
      <c r="E461" s="977">
        <v>9029</v>
      </c>
      <c r="F461" s="1249"/>
    </row>
    <row r="462" spans="3:6" hidden="1">
      <c r="C462" s="891">
        <v>40961</v>
      </c>
      <c r="D462" s="974">
        <v>115.31</v>
      </c>
      <c r="E462" s="977">
        <v>9029</v>
      </c>
      <c r="F462" s="1249"/>
    </row>
    <row r="463" spans="3:6" hidden="1">
      <c r="C463" s="891">
        <v>40962</v>
      </c>
      <c r="D463" s="974">
        <v>115.31</v>
      </c>
      <c r="E463" s="977">
        <v>9029</v>
      </c>
      <c r="F463" s="1249"/>
    </row>
    <row r="464" spans="3:6" hidden="1">
      <c r="C464" s="891">
        <v>40963</v>
      </c>
      <c r="D464" s="974">
        <v>115.31</v>
      </c>
      <c r="E464" s="977">
        <v>9029</v>
      </c>
      <c r="F464" s="1249"/>
    </row>
    <row r="465" spans="3:6" hidden="1">
      <c r="C465" s="891">
        <v>40964</v>
      </c>
      <c r="D465" s="974">
        <v>115.31</v>
      </c>
      <c r="E465" s="977">
        <v>9029</v>
      </c>
      <c r="F465" s="1249"/>
    </row>
    <row r="466" spans="3:6" hidden="1">
      <c r="C466" s="891">
        <v>40965</v>
      </c>
      <c r="D466" s="974">
        <v>115.31</v>
      </c>
      <c r="E466" s="977">
        <v>9029</v>
      </c>
      <c r="F466" s="1249"/>
    </row>
    <row r="467" spans="3:6" hidden="1">
      <c r="C467" s="891">
        <v>40966</v>
      </c>
      <c r="D467" s="974">
        <v>113.2</v>
      </c>
      <c r="E467" s="977">
        <v>9054</v>
      </c>
      <c r="F467" s="1249"/>
    </row>
    <row r="468" spans="3:6" hidden="1">
      <c r="C468" s="891">
        <v>40967</v>
      </c>
      <c r="D468" s="974">
        <v>113.2</v>
      </c>
      <c r="E468" s="977">
        <v>9054</v>
      </c>
      <c r="F468" s="1249"/>
    </row>
    <row r="469" spans="3:6" hidden="1">
      <c r="C469" s="891">
        <v>40968</v>
      </c>
      <c r="D469" s="974">
        <v>113.2</v>
      </c>
      <c r="E469" s="977">
        <v>9054</v>
      </c>
      <c r="F469" s="1249"/>
    </row>
    <row r="470" spans="3:6" hidden="1">
      <c r="C470" s="891">
        <v>40969</v>
      </c>
      <c r="D470" s="974">
        <v>113.2</v>
      </c>
      <c r="E470" s="977">
        <v>9054</v>
      </c>
      <c r="F470" s="1249"/>
    </row>
    <row r="471" spans="3:6" hidden="1">
      <c r="C471" s="891">
        <v>40970</v>
      </c>
      <c r="D471" s="974">
        <v>113.2</v>
      </c>
      <c r="E471" s="977">
        <v>9054</v>
      </c>
      <c r="F471" s="1249"/>
    </row>
    <row r="472" spans="3:6" hidden="1">
      <c r="C472" s="891">
        <v>40971</v>
      </c>
      <c r="D472" s="974">
        <v>113.2</v>
      </c>
      <c r="E472" s="977">
        <v>9054</v>
      </c>
      <c r="F472" s="1249"/>
    </row>
    <row r="473" spans="3:6" hidden="1">
      <c r="C473" s="891">
        <v>40972</v>
      </c>
      <c r="D473" s="974">
        <v>113.2</v>
      </c>
      <c r="E473" s="977">
        <v>9054</v>
      </c>
      <c r="F473" s="1249"/>
    </row>
    <row r="474" spans="3:6" hidden="1">
      <c r="C474" s="891">
        <v>40973</v>
      </c>
      <c r="D474" s="974">
        <v>112.58</v>
      </c>
      <c r="E474" s="977">
        <v>9106</v>
      </c>
      <c r="F474" s="1249"/>
    </row>
    <row r="475" spans="3:6" hidden="1">
      <c r="C475" s="891">
        <v>40974</v>
      </c>
      <c r="D475" s="974">
        <v>112.58</v>
      </c>
      <c r="E475" s="977">
        <v>9106</v>
      </c>
      <c r="F475" s="1249"/>
    </row>
    <row r="476" spans="3:6" hidden="1">
      <c r="C476" s="891">
        <v>40975</v>
      </c>
      <c r="D476" s="974">
        <v>112.58</v>
      </c>
      <c r="E476" s="977">
        <v>9106</v>
      </c>
      <c r="F476" s="1249"/>
    </row>
    <row r="477" spans="3:6" hidden="1">
      <c r="C477" s="891">
        <v>40976</v>
      </c>
      <c r="D477" s="974">
        <v>112.58</v>
      </c>
      <c r="E477" s="977">
        <v>9106</v>
      </c>
      <c r="F477" s="1249"/>
    </row>
    <row r="478" spans="3:6" hidden="1">
      <c r="C478" s="891">
        <v>40977</v>
      </c>
      <c r="D478" s="974">
        <v>112.58</v>
      </c>
      <c r="E478" s="977">
        <v>9106</v>
      </c>
      <c r="F478" s="1249"/>
    </row>
    <row r="479" spans="3:6" hidden="1">
      <c r="C479" s="891">
        <v>40978</v>
      </c>
      <c r="D479" s="974">
        <v>112.58</v>
      </c>
      <c r="E479" s="977">
        <v>9106</v>
      </c>
      <c r="F479" s="1249"/>
    </row>
    <row r="480" spans="3:6" hidden="1">
      <c r="C480" s="891">
        <v>40979</v>
      </c>
      <c r="D480" s="974">
        <v>112.58</v>
      </c>
      <c r="E480" s="977">
        <v>9106</v>
      </c>
      <c r="F480" s="1249"/>
    </row>
    <row r="481" spans="3:6" hidden="1">
      <c r="C481" s="891">
        <v>40980</v>
      </c>
      <c r="D481" s="974">
        <v>112.52</v>
      </c>
      <c r="E481" s="977">
        <v>9142</v>
      </c>
      <c r="F481" s="1249"/>
    </row>
    <row r="482" spans="3:6" hidden="1">
      <c r="C482" s="891">
        <v>40981</v>
      </c>
      <c r="D482" s="974">
        <v>112.52</v>
      </c>
      <c r="E482" s="977">
        <v>9142</v>
      </c>
      <c r="F482" s="1249"/>
    </row>
    <row r="483" spans="3:6" hidden="1">
      <c r="C483" s="891">
        <v>40982</v>
      </c>
      <c r="D483" s="974">
        <v>112.52</v>
      </c>
      <c r="E483" s="977">
        <v>9142</v>
      </c>
      <c r="F483" s="1249"/>
    </row>
    <row r="484" spans="3:6" hidden="1">
      <c r="C484" s="891">
        <v>40983</v>
      </c>
      <c r="D484" s="974">
        <v>112.52</v>
      </c>
      <c r="E484" s="977">
        <v>9142</v>
      </c>
      <c r="F484" s="1249"/>
    </row>
    <row r="485" spans="3:6" hidden="1">
      <c r="C485" s="891">
        <v>40984</v>
      </c>
      <c r="D485" s="974">
        <v>112.52</v>
      </c>
      <c r="E485" s="977">
        <v>9142</v>
      </c>
      <c r="F485" s="1249"/>
    </row>
    <row r="486" spans="3:6" hidden="1">
      <c r="C486" s="891">
        <v>40985</v>
      </c>
      <c r="D486" s="974">
        <v>112.52</v>
      </c>
      <c r="E486" s="977">
        <v>9142</v>
      </c>
      <c r="F486" s="1249"/>
    </row>
    <row r="487" spans="3:6" hidden="1">
      <c r="C487" s="891">
        <v>40986</v>
      </c>
      <c r="D487" s="974">
        <v>112.52</v>
      </c>
      <c r="E487" s="977">
        <v>9142</v>
      </c>
      <c r="F487" s="1249"/>
    </row>
    <row r="488" spans="3:6" hidden="1">
      <c r="C488" s="891">
        <v>40987</v>
      </c>
      <c r="D488" s="974">
        <v>110.47</v>
      </c>
      <c r="E488" s="977">
        <v>9177</v>
      </c>
      <c r="F488" s="1249"/>
    </row>
    <row r="489" spans="3:6" hidden="1">
      <c r="C489" s="891">
        <v>40988</v>
      </c>
      <c r="D489" s="974">
        <v>110.47</v>
      </c>
      <c r="E489" s="977">
        <v>9177</v>
      </c>
      <c r="F489" s="1249"/>
    </row>
    <row r="490" spans="3:6" hidden="1">
      <c r="C490" s="891">
        <v>40989</v>
      </c>
      <c r="D490" s="974">
        <v>110.47</v>
      </c>
      <c r="E490" s="977">
        <v>9177</v>
      </c>
      <c r="F490" s="1249"/>
    </row>
    <row r="491" spans="3:6" hidden="1">
      <c r="C491" s="891">
        <v>40990</v>
      </c>
      <c r="D491" s="974">
        <v>110.47</v>
      </c>
      <c r="E491" s="977">
        <v>9177</v>
      </c>
      <c r="F491" s="1249"/>
    </row>
    <row r="492" spans="3:6" hidden="1">
      <c r="C492" s="891">
        <v>40991</v>
      </c>
      <c r="D492" s="974">
        <v>110.47</v>
      </c>
      <c r="E492" s="977">
        <v>9177</v>
      </c>
      <c r="F492" s="1249"/>
    </row>
    <row r="493" spans="3:6" hidden="1">
      <c r="C493" s="891">
        <v>40992</v>
      </c>
      <c r="D493" s="974">
        <v>110.47</v>
      </c>
      <c r="E493" s="977">
        <v>9177</v>
      </c>
      <c r="F493" s="1249"/>
    </row>
    <row r="494" spans="3:6" hidden="1">
      <c r="C494" s="891">
        <v>40993</v>
      </c>
      <c r="D494" s="974">
        <v>110.47</v>
      </c>
      <c r="E494" s="977">
        <v>9177</v>
      </c>
      <c r="F494" s="1249"/>
    </row>
    <row r="495" spans="3:6" hidden="1">
      <c r="C495" s="891">
        <v>40994</v>
      </c>
      <c r="D495" s="974">
        <v>109.8</v>
      </c>
      <c r="E495" s="977">
        <v>9164</v>
      </c>
      <c r="F495" s="1249"/>
    </row>
    <row r="496" spans="3:6" hidden="1">
      <c r="C496" s="891">
        <v>40995</v>
      </c>
      <c r="D496" s="974">
        <v>109.8</v>
      </c>
      <c r="E496" s="977">
        <v>9164</v>
      </c>
      <c r="F496" s="1249"/>
    </row>
    <row r="497" spans="3:6" hidden="1">
      <c r="C497" s="891">
        <v>40996</v>
      </c>
      <c r="D497" s="974">
        <v>109.8</v>
      </c>
      <c r="E497" s="977">
        <v>9164</v>
      </c>
      <c r="F497" s="1249"/>
    </row>
    <row r="498" spans="3:6" hidden="1">
      <c r="C498" s="891">
        <v>40997</v>
      </c>
      <c r="D498" s="974">
        <v>109.8</v>
      </c>
      <c r="E498" s="977">
        <v>9164</v>
      </c>
      <c r="F498" s="1249"/>
    </row>
    <row r="499" spans="3:6" hidden="1">
      <c r="C499" s="891">
        <v>40998</v>
      </c>
      <c r="D499" s="974">
        <v>109.8</v>
      </c>
      <c r="E499" s="977">
        <v>9164</v>
      </c>
      <c r="F499" s="1249"/>
    </row>
    <row r="500" spans="3:6" hidden="1">
      <c r="C500" s="891">
        <v>40999</v>
      </c>
      <c r="D500" s="974">
        <v>109.8</v>
      </c>
      <c r="E500" s="977">
        <v>9164</v>
      </c>
      <c r="F500" s="1249"/>
    </row>
    <row r="501" spans="3:6" hidden="1">
      <c r="C501" s="891">
        <v>41000</v>
      </c>
      <c r="D501" s="974">
        <v>109.8</v>
      </c>
      <c r="E501" s="977">
        <v>9164</v>
      </c>
      <c r="F501" s="1249"/>
    </row>
    <row r="502" spans="3:6" hidden="1">
      <c r="C502" s="891">
        <v>41001</v>
      </c>
      <c r="D502" s="974">
        <v>111.09</v>
      </c>
      <c r="E502" s="977">
        <v>9180</v>
      </c>
      <c r="F502" s="1249"/>
    </row>
    <row r="503" spans="3:6" hidden="1">
      <c r="C503" s="891">
        <v>41002</v>
      </c>
      <c r="D503" s="974">
        <v>111.09</v>
      </c>
      <c r="E503" s="977">
        <v>9180</v>
      </c>
      <c r="F503" s="1249"/>
    </row>
    <row r="504" spans="3:6" hidden="1">
      <c r="C504" s="891">
        <v>41003</v>
      </c>
      <c r="D504" s="974">
        <v>111.09</v>
      </c>
      <c r="E504" s="977">
        <v>9180</v>
      </c>
      <c r="F504" s="1249"/>
    </row>
    <row r="505" spans="3:6" hidden="1">
      <c r="C505" s="891">
        <v>41004</v>
      </c>
      <c r="D505" s="974">
        <v>111.09</v>
      </c>
      <c r="E505" s="977">
        <v>9180</v>
      </c>
      <c r="F505" s="1249"/>
    </row>
    <row r="506" spans="3:6" hidden="1">
      <c r="C506" s="891">
        <v>41005</v>
      </c>
      <c r="D506" s="974">
        <v>111.09</v>
      </c>
      <c r="E506" s="977">
        <v>9180</v>
      </c>
      <c r="F506" s="1249"/>
    </row>
    <row r="507" spans="3:6" hidden="1">
      <c r="C507" s="891">
        <v>41006</v>
      </c>
      <c r="D507" s="974">
        <v>111.09</v>
      </c>
      <c r="E507" s="977">
        <v>9180</v>
      </c>
      <c r="F507" s="1249"/>
    </row>
    <row r="508" spans="3:6" hidden="1">
      <c r="C508" s="891">
        <v>41007</v>
      </c>
      <c r="D508" s="974">
        <v>111.09</v>
      </c>
      <c r="E508" s="977">
        <v>9180</v>
      </c>
      <c r="F508" s="1249"/>
    </row>
    <row r="509" spans="3:6" hidden="1">
      <c r="C509" s="891">
        <v>41008</v>
      </c>
      <c r="D509" s="974">
        <v>111.05</v>
      </c>
      <c r="E509" s="977">
        <v>9152</v>
      </c>
      <c r="F509" s="1249"/>
    </row>
    <row r="510" spans="3:6" hidden="1">
      <c r="C510" s="891">
        <v>41009</v>
      </c>
      <c r="D510" s="974">
        <v>111.05</v>
      </c>
      <c r="E510" s="977">
        <v>9152</v>
      </c>
      <c r="F510" s="1249"/>
    </row>
    <row r="511" spans="3:6" hidden="1">
      <c r="C511" s="891">
        <v>41010</v>
      </c>
      <c r="D511" s="974">
        <v>111.05</v>
      </c>
      <c r="E511" s="977">
        <v>9152</v>
      </c>
      <c r="F511" s="1249"/>
    </row>
    <row r="512" spans="3:6" hidden="1">
      <c r="C512" s="891">
        <v>41011</v>
      </c>
      <c r="D512" s="974">
        <v>111.05</v>
      </c>
      <c r="E512" s="977">
        <v>9152</v>
      </c>
      <c r="F512" s="1249"/>
    </row>
    <row r="513" spans="3:6" hidden="1">
      <c r="C513" s="891">
        <v>41012</v>
      </c>
      <c r="D513" s="974">
        <v>111.05</v>
      </c>
      <c r="E513" s="977">
        <v>9152</v>
      </c>
      <c r="F513" s="1249"/>
    </row>
    <row r="514" spans="3:6" hidden="1">
      <c r="C514" s="891">
        <v>41013</v>
      </c>
      <c r="D514" s="974">
        <v>111.05</v>
      </c>
      <c r="E514" s="977">
        <v>9152</v>
      </c>
      <c r="F514" s="1249"/>
    </row>
    <row r="515" spans="3:6" hidden="1">
      <c r="C515" s="891">
        <v>41014</v>
      </c>
      <c r="D515" s="974">
        <v>111.05</v>
      </c>
      <c r="E515" s="977">
        <v>9152</v>
      </c>
      <c r="F515" s="1249"/>
    </row>
    <row r="516" spans="3:6" hidden="1">
      <c r="C516" s="891">
        <v>41015</v>
      </c>
      <c r="D516" s="974">
        <v>113.2</v>
      </c>
      <c r="E516" s="977">
        <v>9169</v>
      </c>
      <c r="F516" s="1249"/>
    </row>
    <row r="517" spans="3:6" hidden="1">
      <c r="C517" s="891">
        <v>41016</v>
      </c>
      <c r="D517" s="974">
        <v>113.2</v>
      </c>
      <c r="E517" s="977">
        <v>9169</v>
      </c>
      <c r="F517" s="1249"/>
    </row>
    <row r="518" spans="3:6" hidden="1">
      <c r="C518" s="891">
        <v>41017</v>
      </c>
      <c r="D518" s="974">
        <v>113.2</v>
      </c>
      <c r="E518" s="977">
        <v>9169</v>
      </c>
      <c r="F518" s="1249"/>
    </row>
    <row r="519" spans="3:6" hidden="1">
      <c r="C519" s="891">
        <v>41018</v>
      </c>
      <c r="D519" s="974">
        <v>113.2</v>
      </c>
      <c r="E519" s="977">
        <v>9169</v>
      </c>
      <c r="F519" s="1249"/>
    </row>
    <row r="520" spans="3:6" hidden="1">
      <c r="C520" s="891">
        <v>41019</v>
      </c>
      <c r="D520" s="974">
        <v>113.2</v>
      </c>
      <c r="E520" s="977">
        <v>9169</v>
      </c>
      <c r="F520" s="1249"/>
    </row>
    <row r="521" spans="3:6" hidden="1">
      <c r="C521" s="891">
        <v>41020</v>
      </c>
      <c r="D521" s="974">
        <v>113.2</v>
      </c>
      <c r="E521" s="977">
        <v>9169</v>
      </c>
      <c r="F521" s="1249"/>
    </row>
    <row r="522" spans="3:6" hidden="1">
      <c r="C522" s="891">
        <v>41021</v>
      </c>
      <c r="D522" s="974">
        <v>113.2</v>
      </c>
      <c r="E522" s="977">
        <v>9169</v>
      </c>
      <c r="F522" s="1249"/>
    </row>
    <row r="523" spans="3:6" hidden="1">
      <c r="C523" s="891">
        <v>41022</v>
      </c>
      <c r="D523" s="974">
        <v>113.13</v>
      </c>
      <c r="E523" s="977">
        <v>9182</v>
      </c>
      <c r="F523" s="1249"/>
    </row>
    <row r="524" spans="3:6" hidden="1">
      <c r="C524" s="891">
        <v>41023</v>
      </c>
      <c r="D524" s="974">
        <v>113.13</v>
      </c>
      <c r="E524" s="977">
        <v>9182</v>
      </c>
      <c r="F524" s="1249"/>
    </row>
    <row r="525" spans="3:6" hidden="1">
      <c r="C525" s="891">
        <v>41024</v>
      </c>
      <c r="D525" s="974">
        <v>113.13</v>
      </c>
      <c r="E525" s="977">
        <v>9182</v>
      </c>
      <c r="F525" s="1249"/>
    </row>
    <row r="526" spans="3:6" hidden="1">
      <c r="C526" s="891">
        <v>41025</v>
      </c>
      <c r="D526" s="974">
        <v>113.13</v>
      </c>
      <c r="E526" s="977">
        <v>9182</v>
      </c>
      <c r="F526" s="1249"/>
    </row>
    <row r="527" spans="3:6" hidden="1">
      <c r="C527" s="891">
        <v>41026</v>
      </c>
      <c r="D527" s="974">
        <v>113.13</v>
      </c>
      <c r="E527" s="977">
        <v>9182</v>
      </c>
      <c r="F527" s="1249"/>
    </row>
    <row r="528" spans="3:6" hidden="1">
      <c r="C528" s="891">
        <v>41027</v>
      </c>
      <c r="D528" s="974">
        <v>113.13</v>
      </c>
      <c r="E528" s="977">
        <v>9182</v>
      </c>
      <c r="F528" s="1249"/>
    </row>
    <row r="529" spans="3:6" hidden="1">
      <c r="C529" s="891">
        <v>41028</v>
      </c>
      <c r="D529" s="974">
        <v>113.13</v>
      </c>
      <c r="E529" s="977">
        <v>9182</v>
      </c>
      <c r="F529" s="1249"/>
    </row>
    <row r="530" spans="3:6" hidden="1">
      <c r="C530" s="891">
        <v>41029</v>
      </c>
      <c r="D530" s="974">
        <v>113.23</v>
      </c>
      <c r="E530" s="977">
        <v>9194</v>
      </c>
      <c r="F530" s="1249"/>
    </row>
    <row r="531" spans="3:6" hidden="1">
      <c r="C531" s="891">
        <v>41030</v>
      </c>
      <c r="D531" s="974">
        <v>113.23</v>
      </c>
      <c r="E531" s="977">
        <v>9194</v>
      </c>
      <c r="F531" s="1249"/>
    </row>
    <row r="532" spans="3:6" hidden="1">
      <c r="C532" s="891">
        <v>41031</v>
      </c>
      <c r="D532" s="974">
        <v>113.23</v>
      </c>
      <c r="E532" s="977">
        <v>9194</v>
      </c>
      <c r="F532" s="1249"/>
    </row>
    <row r="533" spans="3:6" hidden="1">
      <c r="C533" s="891">
        <v>41032</v>
      </c>
      <c r="D533" s="974">
        <v>113.23</v>
      </c>
      <c r="E533" s="977">
        <v>9194</v>
      </c>
      <c r="F533" s="1249"/>
    </row>
    <row r="534" spans="3:6" hidden="1">
      <c r="C534" s="891">
        <v>41033</v>
      </c>
      <c r="D534" s="974">
        <v>113.23</v>
      </c>
      <c r="E534" s="977">
        <v>9194</v>
      </c>
      <c r="F534" s="1249"/>
    </row>
    <row r="535" spans="3:6" hidden="1">
      <c r="C535" s="891">
        <v>41034</v>
      </c>
      <c r="D535" s="974">
        <v>113.23</v>
      </c>
      <c r="E535" s="977">
        <v>9194</v>
      </c>
      <c r="F535" s="1249"/>
    </row>
    <row r="536" spans="3:6" hidden="1">
      <c r="C536" s="891">
        <v>41035</v>
      </c>
      <c r="D536" s="974">
        <v>113.23</v>
      </c>
      <c r="E536" s="977">
        <v>9194</v>
      </c>
      <c r="F536" s="1249"/>
    </row>
    <row r="537" spans="3:6" hidden="1">
      <c r="C537" s="891">
        <v>41036</v>
      </c>
      <c r="D537" s="974">
        <v>114.92</v>
      </c>
      <c r="E537" s="977">
        <v>9203</v>
      </c>
      <c r="F537" s="1249"/>
    </row>
    <row r="538" spans="3:6" hidden="1">
      <c r="C538" s="891">
        <v>41037</v>
      </c>
      <c r="D538" s="974">
        <v>114.92</v>
      </c>
      <c r="E538" s="977">
        <v>9203</v>
      </c>
      <c r="F538" s="1249"/>
    </row>
    <row r="539" spans="3:6" hidden="1">
      <c r="C539" s="891">
        <v>41038</v>
      </c>
      <c r="D539" s="974">
        <v>114.92</v>
      </c>
      <c r="E539" s="977">
        <v>9203</v>
      </c>
      <c r="F539" s="1249"/>
    </row>
    <row r="540" spans="3:6" hidden="1">
      <c r="C540" s="891">
        <v>41039</v>
      </c>
      <c r="D540" s="974">
        <v>114.92</v>
      </c>
      <c r="E540" s="977">
        <v>9203</v>
      </c>
      <c r="F540" s="1249"/>
    </row>
    <row r="541" spans="3:6" hidden="1">
      <c r="C541" s="891">
        <v>41040</v>
      </c>
      <c r="D541" s="974">
        <v>114.92</v>
      </c>
      <c r="E541" s="977">
        <v>9203</v>
      </c>
      <c r="F541" s="1249"/>
    </row>
    <row r="542" spans="3:6" hidden="1">
      <c r="C542" s="891">
        <v>41041</v>
      </c>
      <c r="D542" s="974">
        <v>114.92</v>
      </c>
      <c r="E542" s="977">
        <v>9203</v>
      </c>
      <c r="F542" s="1249"/>
    </row>
    <row r="543" spans="3:6" hidden="1">
      <c r="C543" s="891">
        <v>41042</v>
      </c>
      <c r="D543" s="974">
        <v>114.92</v>
      </c>
      <c r="E543" s="977">
        <v>9203</v>
      </c>
      <c r="F543" s="1249"/>
    </row>
    <row r="544" spans="3:6" hidden="1">
      <c r="C544" s="891">
        <v>41043</v>
      </c>
      <c r="D544" s="974">
        <v>115.66</v>
      </c>
      <c r="E544" s="977">
        <v>9238</v>
      </c>
      <c r="F544" s="1249"/>
    </row>
    <row r="545" spans="3:6" hidden="1">
      <c r="C545" s="891">
        <v>41044</v>
      </c>
      <c r="D545" s="974">
        <v>115.66</v>
      </c>
      <c r="E545" s="977">
        <v>9238</v>
      </c>
      <c r="F545" s="1249"/>
    </row>
    <row r="546" spans="3:6" hidden="1">
      <c r="C546" s="891">
        <v>41045</v>
      </c>
      <c r="D546" s="974">
        <v>115.66</v>
      </c>
      <c r="E546" s="977">
        <v>9238</v>
      </c>
      <c r="F546" s="1249"/>
    </row>
    <row r="547" spans="3:6" hidden="1">
      <c r="C547" s="891">
        <v>41046</v>
      </c>
      <c r="D547" s="974">
        <v>115.66</v>
      </c>
      <c r="E547" s="977">
        <v>9238</v>
      </c>
      <c r="F547" s="1249"/>
    </row>
    <row r="548" spans="3:6" hidden="1">
      <c r="C548" s="891">
        <v>41047</v>
      </c>
      <c r="D548" s="974">
        <v>115.66</v>
      </c>
      <c r="E548" s="977">
        <v>9238</v>
      </c>
      <c r="F548" s="1249"/>
    </row>
    <row r="549" spans="3:6" hidden="1">
      <c r="C549" s="891">
        <v>41048</v>
      </c>
      <c r="D549" s="974">
        <v>115.66</v>
      </c>
      <c r="E549" s="977">
        <v>9238</v>
      </c>
      <c r="F549" s="1249"/>
    </row>
    <row r="550" spans="3:6" hidden="1">
      <c r="C550" s="891">
        <v>41049</v>
      </c>
      <c r="D550" s="974">
        <v>115.66</v>
      </c>
      <c r="E550" s="977">
        <v>9238</v>
      </c>
      <c r="F550" s="1249"/>
    </row>
    <row r="551" spans="3:6" hidden="1">
      <c r="C551" s="891">
        <v>41050</v>
      </c>
      <c r="D551" s="974">
        <v>115.51</v>
      </c>
      <c r="E551" s="977">
        <v>9230</v>
      </c>
      <c r="F551" s="1249"/>
    </row>
    <row r="552" spans="3:6" hidden="1">
      <c r="C552" s="891">
        <v>41051</v>
      </c>
      <c r="D552" s="974">
        <v>115.51</v>
      </c>
      <c r="E552" s="977">
        <v>9230</v>
      </c>
      <c r="F552" s="1249"/>
    </row>
    <row r="553" spans="3:6" hidden="1">
      <c r="C553" s="891">
        <v>41052</v>
      </c>
      <c r="D553" s="974">
        <v>115.51</v>
      </c>
      <c r="E553" s="977">
        <v>9230</v>
      </c>
      <c r="F553" s="1249"/>
    </row>
    <row r="554" spans="3:6" hidden="1">
      <c r="C554" s="891">
        <v>41053</v>
      </c>
      <c r="D554" s="974">
        <v>115.51</v>
      </c>
      <c r="E554" s="977">
        <v>9230</v>
      </c>
      <c r="F554" s="1249"/>
    </row>
    <row r="555" spans="3:6" hidden="1">
      <c r="C555" s="891">
        <v>41054</v>
      </c>
      <c r="D555" s="974">
        <v>115.51</v>
      </c>
      <c r="E555" s="977">
        <v>9230</v>
      </c>
      <c r="F555" s="1249"/>
    </row>
    <row r="556" spans="3:6" hidden="1">
      <c r="C556" s="891">
        <v>41055</v>
      </c>
      <c r="D556" s="974">
        <v>115.51</v>
      </c>
      <c r="E556" s="977">
        <v>9230</v>
      </c>
      <c r="F556" s="1249"/>
    </row>
    <row r="557" spans="3:6" hidden="1">
      <c r="C557" s="891">
        <v>41056</v>
      </c>
      <c r="D557" s="974">
        <v>115.51</v>
      </c>
      <c r="E557" s="977">
        <v>9230</v>
      </c>
      <c r="F557" s="1249"/>
    </row>
    <row r="558" spans="3:6" hidden="1">
      <c r="C558" s="891">
        <v>41057</v>
      </c>
      <c r="D558" s="974">
        <v>116.82</v>
      </c>
      <c r="E558" s="977">
        <v>9299</v>
      </c>
      <c r="F558" s="1249"/>
    </row>
    <row r="559" spans="3:6" hidden="1">
      <c r="C559" s="891">
        <v>41058</v>
      </c>
      <c r="D559" s="974">
        <v>116.82</v>
      </c>
      <c r="E559" s="977">
        <v>9299</v>
      </c>
      <c r="F559" s="1249"/>
    </row>
    <row r="560" spans="3:6" hidden="1">
      <c r="C560" s="891">
        <v>41059</v>
      </c>
      <c r="D560" s="974">
        <v>116.82</v>
      </c>
      <c r="E560" s="977">
        <v>9299</v>
      </c>
      <c r="F560" s="1249"/>
    </row>
    <row r="561" spans="3:6" hidden="1">
      <c r="C561" s="891">
        <v>41060</v>
      </c>
      <c r="D561" s="974">
        <v>116.82</v>
      </c>
      <c r="E561" s="977">
        <v>9299</v>
      </c>
      <c r="F561" s="1249"/>
    </row>
    <row r="562" spans="3:6" hidden="1">
      <c r="C562" s="891">
        <v>41061</v>
      </c>
      <c r="D562" s="974">
        <v>116.82</v>
      </c>
      <c r="E562" s="977">
        <v>9299</v>
      </c>
      <c r="F562" s="1249"/>
    </row>
    <row r="563" spans="3:6" hidden="1">
      <c r="C563" s="891">
        <v>41062</v>
      </c>
      <c r="D563" s="974">
        <v>116.82</v>
      </c>
      <c r="E563" s="977">
        <v>9299</v>
      </c>
      <c r="F563" s="1249"/>
    </row>
    <row r="564" spans="3:6" hidden="1">
      <c r="C564" s="891">
        <v>41063</v>
      </c>
      <c r="D564" s="974">
        <v>116.82</v>
      </c>
      <c r="E564" s="977">
        <v>9299</v>
      </c>
      <c r="F564" s="1249"/>
    </row>
    <row r="565" spans="3:6" hidden="1">
      <c r="C565" s="891">
        <v>41064</v>
      </c>
      <c r="D565" s="974">
        <v>119.1</v>
      </c>
      <c r="E565" s="977">
        <v>9409</v>
      </c>
      <c r="F565" s="1249"/>
    </row>
    <row r="566" spans="3:6" hidden="1">
      <c r="C566" s="891">
        <v>41065</v>
      </c>
      <c r="D566" s="974">
        <v>119.1</v>
      </c>
      <c r="E566" s="977">
        <v>9409</v>
      </c>
      <c r="F566" s="1249"/>
    </row>
    <row r="567" spans="3:6" hidden="1">
      <c r="C567" s="891">
        <v>41066</v>
      </c>
      <c r="D567" s="974">
        <v>119.1</v>
      </c>
      <c r="E567" s="977">
        <v>9409</v>
      </c>
      <c r="F567" s="1249"/>
    </row>
    <row r="568" spans="3:6" hidden="1">
      <c r="C568" s="891">
        <v>41067</v>
      </c>
      <c r="D568" s="974">
        <v>119.1</v>
      </c>
      <c r="E568" s="977">
        <v>9409</v>
      </c>
      <c r="F568" s="1249"/>
    </row>
    <row r="569" spans="3:6" hidden="1">
      <c r="C569" s="891">
        <v>41068</v>
      </c>
      <c r="D569" s="974">
        <v>119.1</v>
      </c>
      <c r="E569" s="977">
        <v>9409</v>
      </c>
      <c r="F569" s="1249"/>
    </row>
    <row r="570" spans="3:6" hidden="1">
      <c r="C570" s="891">
        <v>41069</v>
      </c>
      <c r="D570" s="974">
        <v>119.1</v>
      </c>
      <c r="E570" s="977">
        <v>9409</v>
      </c>
      <c r="F570" s="1249"/>
    </row>
    <row r="571" spans="3:6" hidden="1">
      <c r="C571" s="891">
        <v>41070</v>
      </c>
      <c r="D571" s="974">
        <v>119.1</v>
      </c>
      <c r="E571" s="977">
        <v>9409</v>
      </c>
      <c r="F571" s="1249"/>
    </row>
    <row r="572" spans="3:6" hidden="1">
      <c r="C572" s="891">
        <v>41071</v>
      </c>
      <c r="D572" s="974">
        <v>119.13</v>
      </c>
      <c r="E572" s="977">
        <v>9425</v>
      </c>
      <c r="F572" s="1249"/>
    </row>
    <row r="573" spans="3:6" hidden="1">
      <c r="C573" s="891">
        <v>41072</v>
      </c>
      <c r="D573" s="974">
        <v>119.13</v>
      </c>
      <c r="E573" s="977">
        <v>9425</v>
      </c>
      <c r="F573" s="1249"/>
    </row>
    <row r="574" spans="3:6" hidden="1">
      <c r="C574" s="891">
        <v>41073</v>
      </c>
      <c r="D574" s="974">
        <v>119.13</v>
      </c>
      <c r="E574" s="977">
        <v>9425</v>
      </c>
      <c r="F574" s="1249"/>
    </row>
    <row r="575" spans="3:6" hidden="1">
      <c r="C575" s="891">
        <v>41074</v>
      </c>
      <c r="D575" s="974">
        <v>119.13</v>
      </c>
      <c r="E575" s="977">
        <v>9425</v>
      </c>
      <c r="F575" s="1249"/>
    </row>
    <row r="576" spans="3:6" hidden="1">
      <c r="C576" s="891">
        <v>41075</v>
      </c>
      <c r="D576" s="974">
        <v>119.13</v>
      </c>
      <c r="E576" s="977">
        <v>9425</v>
      </c>
      <c r="F576" s="1249"/>
    </row>
    <row r="577" spans="3:6" hidden="1">
      <c r="C577" s="891">
        <v>41076</v>
      </c>
      <c r="D577" s="974">
        <v>119.13</v>
      </c>
      <c r="E577" s="977">
        <v>9425</v>
      </c>
      <c r="F577" s="1249"/>
    </row>
    <row r="578" spans="3:6" hidden="1">
      <c r="C578" s="891">
        <v>41077</v>
      </c>
      <c r="D578" s="974">
        <v>119.13</v>
      </c>
      <c r="E578" s="977">
        <v>9425</v>
      </c>
      <c r="F578" s="1249"/>
    </row>
    <row r="579" spans="3:6" hidden="1">
      <c r="C579" s="891">
        <v>41078</v>
      </c>
      <c r="D579" s="974">
        <v>118.86</v>
      </c>
      <c r="E579" s="977">
        <v>9438</v>
      </c>
      <c r="F579" s="1249"/>
    </row>
    <row r="580" spans="3:6" hidden="1">
      <c r="C580" s="891">
        <v>41079</v>
      </c>
      <c r="D580" s="974">
        <v>118.86</v>
      </c>
      <c r="E580" s="977">
        <v>9438</v>
      </c>
      <c r="F580" s="1249"/>
    </row>
    <row r="581" spans="3:6" hidden="1">
      <c r="C581" s="891">
        <v>41080</v>
      </c>
      <c r="D581" s="974">
        <v>118.86</v>
      </c>
      <c r="E581" s="977">
        <v>9438</v>
      </c>
      <c r="F581" s="1249"/>
    </row>
    <row r="582" spans="3:6" hidden="1">
      <c r="C582" s="891">
        <v>41081</v>
      </c>
      <c r="D582" s="974">
        <v>118.86</v>
      </c>
      <c r="E582" s="977">
        <v>9438</v>
      </c>
      <c r="F582" s="1249"/>
    </row>
    <row r="583" spans="3:6" hidden="1">
      <c r="C583" s="891">
        <v>41082</v>
      </c>
      <c r="D583" s="974">
        <v>118.86</v>
      </c>
      <c r="E583" s="977">
        <v>9438</v>
      </c>
      <c r="F583" s="1249"/>
    </row>
    <row r="584" spans="3:6" hidden="1">
      <c r="C584" s="891">
        <v>41083</v>
      </c>
      <c r="D584" s="974">
        <v>118.86</v>
      </c>
      <c r="E584" s="977">
        <v>9438</v>
      </c>
      <c r="F584" s="1249"/>
    </row>
    <row r="585" spans="3:6" hidden="1">
      <c r="C585" s="891">
        <v>41084</v>
      </c>
      <c r="D585" s="974">
        <v>118.86</v>
      </c>
      <c r="E585" s="977">
        <v>9438</v>
      </c>
      <c r="F585" s="1249"/>
    </row>
    <row r="586" spans="3:6" hidden="1">
      <c r="C586" s="891">
        <v>41085</v>
      </c>
      <c r="D586" s="974">
        <v>118.74</v>
      </c>
      <c r="E586" s="977">
        <v>9448</v>
      </c>
      <c r="F586" s="1249"/>
    </row>
    <row r="587" spans="3:6" hidden="1">
      <c r="C587" s="891">
        <v>41086</v>
      </c>
      <c r="D587" s="974">
        <v>118.74</v>
      </c>
      <c r="E587" s="977">
        <v>9448</v>
      </c>
      <c r="F587" s="1249"/>
    </row>
    <row r="588" spans="3:6" hidden="1">
      <c r="C588" s="891">
        <v>41087</v>
      </c>
      <c r="D588" s="974">
        <v>118.74</v>
      </c>
      <c r="E588" s="977">
        <v>9448</v>
      </c>
      <c r="F588" s="1249"/>
    </row>
    <row r="589" spans="3:6" hidden="1">
      <c r="C589" s="891">
        <v>41088</v>
      </c>
      <c r="D589" s="974">
        <v>118.74</v>
      </c>
      <c r="E589" s="977">
        <v>9448</v>
      </c>
      <c r="F589" s="1249"/>
    </row>
    <row r="590" spans="3:6" hidden="1">
      <c r="C590" s="891">
        <v>41089</v>
      </c>
      <c r="D590" s="974">
        <v>118.74</v>
      </c>
      <c r="E590" s="977">
        <v>9448</v>
      </c>
      <c r="F590" s="1249"/>
    </row>
    <row r="591" spans="3:6" hidden="1">
      <c r="C591" s="891">
        <v>41090</v>
      </c>
      <c r="D591" s="974">
        <v>118.74</v>
      </c>
      <c r="E591" s="977">
        <v>9448</v>
      </c>
      <c r="F591" s="1249"/>
    </row>
    <row r="592" spans="3:6" hidden="1">
      <c r="C592" s="891">
        <v>41091</v>
      </c>
      <c r="D592" s="974">
        <v>118.74</v>
      </c>
      <c r="E592" s="977">
        <v>9448</v>
      </c>
      <c r="F592" s="1249"/>
    </row>
    <row r="593" spans="3:6" hidden="1">
      <c r="C593" s="891">
        <v>41092</v>
      </c>
      <c r="D593" s="974">
        <v>119.5</v>
      </c>
      <c r="E593" s="977">
        <v>9499</v>
      </c>
      <c r="F593" s="1249"/>
    </row>
    <row r="594" spans="3:6" hidden="1">
      <c r="C594" s="891">
        <v>41093</v>
      </c>
      <c r="D594" s="974">
        <v>119.5</v>
      </c>
      <c r="E594" s="977">
        <v>9499</v>
      </c>
      <c r="F594" s="1249"/>
    </row>
    <row r="595" spans="3:6" hidden="1">
      <c r="C595" s="891">
        <v>41094</v>
      </c>
      <c r="D595" s="974">
        <v>119.5</v>
      </c>
      <c r="E595" s="977">
        <v>9499</v>
      </c>
      <c r="F595" s="1249"/>
    </row>
    <row r="596" spans="3:6" hidden="1">
      <c r="C596" s="891">
        <v>41095</v>
      </c>
      <c r="D596" s="974">
        <v>119.5</v>
      </c>
      <c r="E596" s="977">
        <v>9499</v>
      </c>
      <c r="F596" s="1249"/>
    </row>
    <row r="597" spans="3:6" hidden="1">
      <c r="C597" s="891">
        <v>41096</v>
      </c>
      <c r="D597" s="974">
        <v>119.5</v>
      </c>
      <c r="E597" s="977">
        <v>9499</v>
      </c>
      <c r="F597" s="1249"/>
    </row>
    <row r="598" spans="3:6" hidden="1">
      <c r="C598" s="891">
        <v>41097</v>
      </c>
      <c r="D598" s="974">
        <v>119.5</v>
      </c>
      <c r="E598" s="977">
        <v>9499</v>
      </c>
      <c r="F598" s="1249"/>
    </row>
    <row r="599" spans="3:6" hidden="1">
      <c r="C599" s="891">
        <v>41098</v>
      </c>
      <c r="D599" s="974">
        <v>119.5</v>
      </c>
      <c r="E599" s="977">
        <v>9499</v>
      </c>
      <c r="F599" s="1249"/>
    </row>
    <row r="600" spans="3:6" hidden="1">
      <c r="C600" s="891">
        <v>41099</v>
      </c>
      <c r="D600" s="974">
        <v>117.65</v>
      </c>
      <c r="E600" s="977">
        <v>9376</v>
      </c>
      <c r="F600" s="1249"/>
    </row>
    <row r="601" spans="3:6" hidden="1">
      <c r="C601" s="891">
        <v>41100</v>
      </c>
      <c r="D601" s="974">
        <v>117.65</v>
      </c>
      <c r="E601" s="977">
        <v>9376</v>
      </c>
      <c r="F601" s="1249"/>
    </row>
    <row r="602" spans="3:6" hidden="1">
      <c r="C602" s="891">
        <v>41101</v>
      </c>
      <c r="D602" s="974">
        <v>117.65</v>
      </c>
      <c r="E602" s="977">
        <v>9376</v>
      </c>
      <c r="F602" s="1249"/>
    </row>
    <row r="603" spans="3:6" hidden="1">
      <c r="C603" s="891">
        <v>41102</v>
      </c>
      <c r="D603" s="974">
        <v>117.65</v>
      </c>
      <c r="E603" s="977">
        <v>9376</v>
      </c>
      <c r="F603" s="1249"/>
    </row>
    <row r="604" spans="3:6" hidden="1">
      <c r="C604" s="891">
        <v>41103</v>
      </c>
      <c r="D604" s="974">
        <v>117.65</v>
      </c>
      <c r="E604" s="977">
        <v>9376</v>
      </c>
      <c r="F604" s="1249"/>
    </row>
    <row r="605" spans="3:6" hidden="1">
      <c r="C605" s="891">
        <v>41104</v>
      </c>
      <c r="D605" s="974">
        <v>117.65</v>
      </c>
      <c r="E605" s="977">
        <v>9376</v>
      </c>
      <c r="F605" s="1249"/>
    </row>
    <row r="606" spans="3:6" hidden="1">
      <c r="C606" s="891">
        <v>41105</v>
      </c>
      <c r="D606" s="974">
        <v>117.65</v>
      </c>
      <c r="E606" s="977">
        <v>9376</v>
      </c>
      <c r="F606" s="1249"/>
    </row>
    <row r="607" spans="3:6" hidden="1">
      <c r="C607" s="891">
        <v>41106</v>
      </c>
      <c r="D607" s="974">
        <v>118.93</v>
      </c>
      <c r="E607" s="977">
        <v>9442</v>
      </c>
      <c r="F607" s="1249"/>
    </row>
    <row r="608" spans="3:6" hidden="1">
      <c r="C608" s="891">
        <v>41107</v>
      </c>
      <c r="D608" s="974">
        <v>118.93</v>
      </c>
      <c r="E608" s="977">
        <v>9442</v>
      </c>
      <c r="F608" s="1249"/>
    </row>
    <row r="609" spans="3:6" hidden="1">
      <c r="C609" s="891">
        <v>41108</v>
      </c>
      <c r="D609" s="974">
        <v>118.93</v>
      </c>
      <c r="E609" s="977">
        <v>9442</v>
      </c>
      <c r="F609" s="1249"/>
    </row>
    <row r="610" spans="3:6" hidden="1">
      <c r="C610" s="891">
        <v>41109</v>
      </c>
      <c r="D610" s="974">
        <v>118.93</v>
      </c>
      <c r="E610" s="977">
        <v>9442</v>
      </c>
      <c r="F610" s="1249"/>
    </row>
    <row r="611" spans="3:6" hidden="1">
      <c r="C611" s="891">
        <v>41110</v>
      </c>
      <c r="D611" s="974">
        <v>118.93</v>
      </c>
      <c r="E611" s="977">
        <v>9442</v>
      </c>
      <c r="F611" s="1249"/>
    </row>
    <row r="612" spans="3:6" hidden="1">
      <c r="C612" s="891">
        <v>41111</v>
      </c>
      <c r="D612" s="974">
        <v>118.93</v>
      </c>
      <c r="E612" s="977">
        <v>9442</v>
      </c>
      <c r="F612" s="1249"/>
    </row>
    <row r="613" spans="3:6" hidden="1">
      <c r="C613" s="891">
        <v>41112</v>
      </c>
      <c r="D613" s="974">
        <v>118.93</v>
      </c>
      <c r="E613" s="977">
        <v>9442</v>
      </c>
      <c r="F613" s="1249"/>
    </row>
    <row r="614" spans="3:6" hidden="1">
      <c r="C614" s="891">
        <v>41113</v>
      </c>
      <c r="D614" s="974">
        <v>120.04</v>
      </c>
      <c r="E614" s="977">
        <v>9467</v>
      </c>
      <c r="F614" s="1249"/>
    </row>
    <row r="615" spans="3:6" hidden="1">
      <c r="C615" s="891">
        <v>41114</v>
      </c>
      <c r="D615" s="974">
        <v>120.04</v>
      </c>
      <c r="E615" s="977">
        <v>9467</v>
      </c>
      <c r="F615" s="1249"/>
    </row>
    <row r="616" spans="3:6" hidden="1">
      <c r="C616" s="891">
        <v>41115</v>
      </c>
      <c r="D616" s="974">
        <v>120.04</v>
      </c>
      <c r="E616" s="977">
        <v>9467</v>
      </c>
      <c r="F616" s="1249"/>
    </row>
    <row r="617" spans="3:6" hidden="1">
      <c r="C617" s="891">
        <v>41116</v>
      </c>
      <c r="D617" s="974">
        <v>120.04</v>
      </c>
      <c r="E617" s="977">
        <v>9467</v>
      </c>
      <c r="F617" s="1249"/>
    </row>
    <row r="618" spans="3:6" hidden="1">
      <c r="C618" s="891">
        <v>41117</v>
      </c>
      <c r="D618" s="974">
        <v>120.04</v>
      </c>
      <c r="E618" s="977">
        <v>9467</v>
      </c>
      <c r="F618" s="1249"/>
    </row>
    <row r="619" spans="3:6" hidden="1">
      <c r="C619" s="891">
        <v>41118</v>
      </c>
      <c r="D619" s="974">
        <v>120.04</v>
      </c>
      <c r="E619" s="977">
        <v>9467</v>
      </c>
      <c r="F619" s="1249"/>
    </row>
    <row r="620" spans="3:6" hidden="1">
      <c r="C620" s="891">
        <v>41119</v>
      </c>
      <c r="D620" s="974">
        <v>120.04</v>
      </c>
      <c r="E620" s="977">
        <v>9467</v>
      </c>
      <c r="F620" s="1249"/>
    </row>
    <row r="621" spans="3:6" hidden="1">
      <c r="C621" s="891">
        <v>41120</v>
      </c>
      <c r="D621" s="974">
        <v>121.52</v>
      </c>
      <c r="E621" s="977">
        <v>9506</v>
      </c>
      <c r="F621" s="1249"/>
    </row>
    <row r="622" spans="3:6" hidden="1">
      <c r="C622" s="891">
        <v>41121</v>
      </c>
      <c r="D622" s="974">
        <v>121.52</v>
      </c>
      <c r="E622" s="977">
        <v>9506</v>
      </c>
      <c r="F622" s="1249"/>
    </row>
    <row r="623" spans="3:6" hidden="1">
      <c r="C623" s="891">
        <v>41122</v>
      </c>
      <c r="D623" s="974">
        <v>121.52</v>
      </c>
      <c r="E623" s="977">
        <v>9506</v>
      </c>
      <c r="F623" s="1249"/>
    </row>
    <row r="624" spans="3:6" hidden="1">
      <c r="C624" s="891">
        <v>41123</v>
      </c>
      <c r="D624" s="974">
        <v>121.52</v>
      </c>
      <c r="E624" s="977">
        <v>9506</v>
      </c>
      <c r="F624" s="1249"/>
    </row>
    <row r="625" spans="3:6" hidden="1">
      <c r="C625" s="891">
        <v>41124</v>
      </c>
      <c r="D625" s="974">
        <v>121.52</v>
      </c>
      <c r="E625" s="977">
        <v>9506</v>
      </c>
      <c r="F625" s="1249"/>
    </row>
    <row r="626" spans="3:6" hidden="1">
      <c r="C626" s="891">
        <v>41125</v>
      </c>
      <c r="D626" s="974">
        <v>121.52</v>
      </c>
      <c r="E626" s="977">
        <v>9506</v>
      </c>
      <c r="F626" s="1249"/>
    </row>
    <row r="627" spans="3:6" hidden="1">
      <c r="C627" s="891">
        <v>41126</v>
      </c>
      <c r="D627" s="974">
        <v>121.52</v>
      </c>
      <c r="E627" s="977">
        <v>9506</v>
      </c>
      <c r="F627" s="1249"/>
    </row>
    <row r="628" spans="3:6" hidden="1">
      <c r="C628" s="891">
        <v>41127</v>
      </c>
      <c r="D628" s="974">
        <v>121.31</v>
      </c>
      <c r="E628" s="977">
        <v>9476</v>
      </c>
      <c r="F628" s="1249"/>
    </row>
    <row r="629" spans="3:6" hidden="1">
      <c r="C629" s="891">
        <v>41128</v>
      </c>
      <c r="D629" s="974">
        <v>121.31</v>
      </c>
      <c r="E629" s="977">
        <v>9476</v>
      </c>
      <c r="F629" s="1249"/>
    </row>
    <row r="630" spans="3:6" hidden="1">
      <c r="C630" s="891">
        <v>41129</v>
      </c>
      <c r="D630" s="974">
        <v>121.31</v>
      </c>
      <c r="E630" s="977">
        <v>9476</v>
      </c>
      <c r="F630" s="1249"/>
    </row>
    <row r="631" spans="3:6" hidden="1">
      <c r="C631" s="891">
        <v>41130</v>
      </c>
      <c r="D631" s="974">
        <v>121.31</v>
      </c>
      <c r="E631" s="977">
        <v>9476</v>
      </c>
      <c r="F631" s="1249"/>
    </row>
    <row r="632" spans="3:6" hidden="1">
      <c r="C632" s="891">
        <v>41131</v>
      </c>
      <c r="D632" s="974">
        <v>121.31</v>
      </c>
      <c r="E632" s="977">
        <v>9476</v>
      </c>
      <c r="F632" s="1249"/>
    </row>
    <row r="633" spans="3:6" hidden="1">
      <c r="C633" s="891">
        <v>41132</v>
      </c>
      <c r="D633" s="974">
        <v>121.31</v>
      </c>
      <c r="E633" s="977">
        <v>9476</v>
      </c>
      <c r="F633" s="1249"/>
    </row>
    <row r="634" spans="3:6" hidden="1">
      <c r="C634" s="891">
        <v>41133</v>
      </c>
      <c r="D634" s="974">
        <v>121.31</v>
      </c>
      <c r="E634" s="977">
        <v>9476</v>
      </c>
      <c r="F634" s="1249"/>
    </row>
    <row r="635" spans="3:6" hidden="1">
      <c r="C635" s="891">
        <v>41134</v>
      </c>
      <c r="D635" s="974">
        <v>120.83</v>
      </c>
      <c r="E635" s="977">
        <v>9479</v>
      </c>
      <c r="F635" s="1249"/>
    </row>
    <row r="636" spans="3:6" hidden="1">
      <c r="C636" s="891">
        <v>41135</v>
      </c>
      <c r="D636" s="974">
        <v>120.83</v>
      </c>
      <c r="E636" s="977">
        <v>9479</v>
      </c>
      <c r="F636" s="1249"/>
    </row>
    <row r="637" spans="3:6" hidden="1">
      <c r="C637" s="891">
        <v>41136</v>
      </c>
      <c r="D637" s="974">
        <v>120.83</v>
      </c>
      <c r="E637" s="977">
        <v>9479</v>
      </c>
      <c r="F637" s="1249"/>
    </row>
    <row r="638" spans="3:6" hidden="1">
      <c r="C638" s="891">
        <v>41137</v>
      </c>
      <c r="D638" s="974">
        <v>120.83</v>
      </c>
      <c r="E638" s="977">
        <v>9479</v>
      </c>
      <c r="F638" s="1249"/>
    </row>
    <row r="639" spans="3:6" hidden="1">
      <c r="C639" s="891">
        <v>41138</v>
      </c>
      <c r="D639" s="974">
        <v>120.83</v>
      </c>
      <c r="E639" s="977">
        <v>9479</v>
      </c>
      <c r="F639" s="1249"/>
    </row>
    <row r="640" spans="3:6" hidden="1">
      <c r="C640" s="891">
        <v>41139</v>
      </c>
      <c r="D640" s="974">
        <v>120.83</v>
      </c>
      <c r="E640" s="977">
        <v>9479</v>
      </c>
      <c r="F640" s="1249"/>
    </row>
    <row r="641" spans="3:6" hidden="1">
      <c r="C641" s="891">
        <v>41140</v>
      </c>
      <c r="D641" s="974">
        <v>120.83</v>
      </c>
      <c r="E641" s="977">
        <v>9479</v>
      </c>
      <c r="F641" s="1249"/>
    </row>
    <row r="642" spans="3:6" hidden="1">
      <c r="C642" s="891">
        <v>41141</v>
      </c>
      <c r="D642" s="974">
        <v>120.91</v>
      </c>
      <c r="E642" s="977">
        <v>9488</v>
      </c>
      <c r="F642" s="1249"/>
    </row>
    <row r="643" spans="3:6" hidden="1">
      <c r="C643" s="891">
        <v>41142</v>
      </c>
      <c r="D643" s="974">
        <v>120.91</v>
      </c>
      <c r="E643" s="977">
        <v>9488</v>
      </c>
      <c r="F643" s="1249"/>
    </row>
    <row r="644" spans="3:6" hidden="1">
      <c r="C644" s="891">
        <v>41143</v>
      </c>
      <c r="D644" s="974">
        <v>120.91</v>
      </c>
      <c r="E644" s="977">
        <v>9488</v>
      </c>
      <c r="F644" s="1249"/>
    </row>
    <row r="645" spans="3:6" hidden="1">
      <c r="C645" s="891">
        <v>41144</v>
      </c>
      <c r="D645" s="974">
        <v>120.91</v>
      </c>
      <c r="E645" s="977">
        <v>9488</v>
      </c>
      <c r="F645" s="1249"/>
    </row>
    <row r="646" spans="3:6" hidden="1">
      <c r="C646" s="891">
        <v>41145</v>
      </c>
      <c r="D646" s="974">
        <v>120.91</v>
      </c>
      <c r="E646" s="977">
        <v>9488</v>
      </c>
      <c r="F646" s="1249"/>
    </row>
    <row r="647" spans="3:6" hidden="1">
      <c r="C647" s="891">
        <v>41146</v>
      </c>
      <c r="D647" s="974">
        <v>120.91</v>
      </c>
      <c r="E647" s="977">
        <v>9488</v>
      </c>
      <c r="F647" s="1249"/>
    </row>
    <row r="648" spans="3:6" hidden="1">
      <c r="C648" s="891">
        <v>41147</v>
      </c>
      <c r="D648" s="974">
        <v>120.91</v>
      </c>
      <c r="E648" s="977">
        <v>9488</v>
      </c>
      <c r="F648" s="1249"/>
    </row>
    <row r="649" spans="3:6" hidden="1">
      <c r="C649" s="891">
        <v>41148</v>
      </c>
      <c r="D649" s="974">
        <v>120.91</v>
      </c>
      <c r="E649" s="977">
        <v>9488</v>
      </c>
      <c r="F649" s="1249"/>
    </row>
    <row r="650" spans="3:6" hidden="1">
      <c r="C650" s="891">
        <v>41149</v>
      </c>
      <c r="D650" s="974">
        <v>120.91</v>
      </c>
      <c r="E650" s="977">
        <v>9488</v>
      </c>
      <c r="F650" s="1249"/>
    </row>
    <row r="651" spans="3:6" hidden="1">
      <c r="C651" s="891">
        <v>41150</v>
      </c>
      <c r="D651" s="974">
        <v>120.91</v>
      </c>
      <c r="E651" s="977">
        <v>9488</v>
      </c>
      <c r="F651" s="1249"/>
    </row>
    <row r="652" spans="3:6" hidden="1">
      <c r="C652" s="891">
        <v>41151</v>
      </c>
      <c r="D652" s="974">
        <v>120.91</v>
      </c>
      <c r="E652" s="977">
        <v>9488</v>
      </c>
      <c r="F652" s="1249"/>
    </row>
    <row r="653" spans="3:6" hidden="1">
      <c r="C653" s="891">
        <v>41152</v>
      </c>
      <c r="D653" s="974">
        <v>120.91</v>
      </c>
      <c r="E653" s="977">
        <v>9488</v>
      </c>
      <c r="F653" s="1249"/>
    </row>
    <row r="654" spans="3:6" hidden="1">
      <c r="C654" s="891">
        <v>41153</v>
      </c>
      <c r="D654" s="974">
        <v>120.91</v>
      </c>
      <c r="E654" s="977">
        <v>9488</v>
      </c>
      <c r="F654" s="1249"/>
    </row>
    <row r="655" spans="3:6" hidden="1">
      <c r="C655" s="891">
        <v>41154</v>
      </c>
      <c r="D655" s="974">
        <v>120.91</v>
      </c>
      <c r="E655" s="977">
        <v>9488</v>
      </c>
      <c r="F655" s="1249"/>
    </row>
    <row r="656" spans="3:6" hidden="1">
      <c r="C656" s="891">
        <v>41155</v>
      </c>
      <c r="D656" s="974">
        <v>121.65</v>
      </c>
      <c r="E656" s="977">
        <v>9565</v>
      </c>
      <c r="F656" s="1249"/>
    </row>
    <row r="657" spans="3:6" hidden="1">
      <c r="C657" s="891">
        <v>41156</v>
      </c>
      <c r="D657" s="974">
        <v>121.65</v>
      </c>
      <c r="E657" s="977">
        <v>9565</v>
      </c>
      <c r="F657" s="1249"/>
    </row>
    <row r="658" spans="3:6" hidden="1">
      <c r="C658" s="891">
        <v>41157</v>
      </c>
      <c r="D658" s="974">
        <v>121.65</v>
      </c>
      <c r="E658" s="977">
        <v>9565</v>
      </c>
      <c r="F658" s="1249"/>
    </row>
    <row r="659" spans="3:6" hidden="1">
      <c r="C659" s="891">
        <v>41158</v>
      </c>
      <c r="D659" s="974">
        <v>121.65</v>
      </c>
      <c r="E659" s="977">
        <v>9565</v>
      </c>
      <c r="F659" s="1249"/>
    </row>
    <row r="660" spans="3:6" hidden="1">
      <c r="C660" s="891">
        <v>41159</v>
      </c>
      <c r="D660" s="974">
        <v>121.65</v>
      </c>
      <c r="E660" s="977">
        <v>9565</v>
      </c>
      <c r="F660" s="1249"/>
    </row>
    <row r="661" spans="3:6" hidden="1">
      <c r="C661" s="891">
        <v>41160</v>
      </c>
      <c r="D661" s="974">
        <v>121.65</v>
      </c>
      <c r="E661" s="977">
        <v>9565</v>
      </c>
      <c r="F661" s="1249"/>
    </row>
    <row r="662" spans="3:6" hidden="1">
      <c r="C662" s="891">
        <v>41161</v>
      </c>
      <c r="D662" s="974">
        <v>121.65</v>
      </c>
      <c r="E662" s="977">
        <v>9565</v>
      </c>
      <c r="F662" s="1249"/>
    </row>
    <row r="663" spans="3:6" hidden="1">
      <c r="C663" s="891">
        <v>41162</v>
      </c>
      <c r="D663" s="974">
        <v>121.91</v>
      </c>
      <c r="E663" s="977">
        <v>9579</v>
      </c>
      <c r="F663" s="1249"/>
    </row>
    <row r="664" spans="3:6" hidden="1">
      <c r="C664" s="891">
        <v>41163</v>
      </c>
      <c r="D664" s="974">
        <v>121.91</v>
      </c>
      <c r="E664" s="977">
        <v>9579</v>
      </c>
      <c r="F664" s="1249"/>
    </row>
    <row r="665" spans="3:6" hidden="1">
      <c r="C665" s="891">
        <v>41164</v>
      </c>
      <c r="D665" s="974">
        <v>121.91</v>
      </c>
      <c r="E665" s="977">
        <v>9579</v>
      </c>
      <c r="F665" s="1249"/>
    </row>
    <row r="666" spans="3:6" hidden="1">
      <c r="C666" s="891">
        <v>41165</v>
      </c>
      <c r="D666" s="974">
        <v>121.91</v>
      </c>
      <c r="E666" s="977">
        <v>9579</v>
      </c>
      <c r="F666" s="1249"/>
    </row>
    <row r="667" spans="3:6" hidden="1">
      <c r="C667" s="891">
        <v>41166</v>
      </c>
      <c r="D667" s="974">
        <v>121.91</v>
      </c>
      <c r="E667" s="977">
        <v>9579</v>
      </c>
      <c r="F667" s="1249"/>
    </row>
    <row r="668" spans="3:6" hidden="1">
      <c r="C668" s="891">
        <v>41167</v>
      </c>
      <c r="D668" s="974">
        <v>121.91</v>
      </c>
      <c r="E668" s="977">
        <v>9579</v>
      </c>
      <c r="F668" s="1249"/>
    </row>
    <row r="669" spans="3:6" hidden="1">
      <c r="C669" s="891">
        <v>41168</v>
      </c>
      <c r="D669" s="974">
        <v>121.91</v>
      </c>
      <c r="E669" s="977">
        <v>9579</v>
      </c>
      <c r="F669" s="1249"/>
    </row>
    <row r="670" spans="3:6" hidden="1">
      <c r="C670" s="891">
        <v>41169</v>
      </c>
      <c r="D670" s="974">
        <v>122.88</v>
      </c>
      <c r="E670" s="977">
        <v>9583</v>
      </c>
      <c r="F670" s="1249"/>
    </row>
    <row r="671" spans="3:6" hidden="1">
      <c r="C671" s="891">
        <v>41170</v>
      </c>
      <c r="D671" s="974">
        <v>122.88</v>
      </c>
      <c r="E671" s="977">
        <v>9583</v>
      </c>
      <c r="F671" s="1249"/>
    </row>
    <row r="672" spans="3:6" hidden="1">
      <c r="C672" s="891">
        <v>41171</v>
      </c>
      <c r="D672" s="974">
        <v>122.88</v>
      </c>
      <c r="E672" s="977">
        <v>9583</v>
      </c>
      <c r="F672" s="1249"/>
    </row>
    <row r="673" spans="3:6" hidden="1">
      <c r="C673" s="891">
        <v>41172</v>
      </c>
      <c r="D673" s="974">
        <v>122.88</v>
      </c>
      <c r="E673" s="977">
        <v>9583</v>
      </c>
      <c r="F673" s="1249"/>
    </row>
    <row r="674" spans="3:6" hidden="1">
      <c r="C674" s="891">
        <v>41173</v>
      </c>
      <c r="D674" s="974">
        <v>122.88</v>
      </c>
      <c r="E674" s="977">
        <v>9583</v>
      </c>
      <c r="F674" s="1249"/>
    </row>
    <row r="675" spans="3:6" hidden="1">
      <c r="C675" s="891">
        <v>41174</v>
      </c>
      <c r="D675" s="974">
        <v>122.88</v>
      </c>
      <c r="E675" s="977">
        <v>9583</v>
      </c>
      <c r="F675" s="1249"/>
    </row>
    <row r="676" spans="3:6" hidden="1">
      <c r="C676" s="891">
        <v>41175</v>
      </c>
      <c r="D676" s="974">
        <v>122.88</v>
      </c>
      <c r="E676" s="977">
        <v>9583</v>
      </c>
      <c r="F676" s="1249"/>
    </row>
    <row r="677" spans="3:6" hidden="1">
      <c r="C677" s="891">
        <v>41176</v>
      </c>
      <c r="D677" s="974">
        <v>121.46</v>
      </c>
      <c r="E677" s="977">
        <v>9533</v>
      </c>
      <c r="F677" s="1249"/>
    </row>
    <row r="678" spans="3:6" hidden="1">
      <c r="C678" s="891">
        <v>41177</v>
      </c>
      <c r="D678" s="974">
        <v>121.46</v>
      </c>
      <c r="E678" s="977">
        <v>9533</v>
      </c>
      <c r="F678" s="1249"/>
    </row>
    <row r="679" spans="3:6" hidden="1">
      <c r="C679" s="891">
        <v>41178</v>
      </c>
      <c r="D679" s="974">
        <v>121.46</v>
      </c>
      <c r="E679" s="977">
        <v>9533</v>
      </c>
      <c r="F679" s="1249"/>
    </row>
    <row r="680" spans="3:6" hidden="1">
      <c r="C680" s="891">
        <v>41179</v>
      </c>
      <c r="D680" s="974">
        <v>121.46</v>
      </c>
      <c r="E680" s="977">
        <v>9533</v>
      </c>
      <c r="F680" s="1249"/>
    </row>
    <row r="681" spans="3:6" hidden="1">
      <c r="C681" s="891">
        <v>41180</v>
      </c>
      <c r="D681" s="974">
        <v>121.46</v>
      </c>
      <c r="E681" s="977">
        <v>9533</v>
      </c>
      <c r="F681" s="1249"/>
    </row>
    <row r="682" spans="3:6" hidden="1">
      <c r="C682" s="891">
        <v>41181</v>
      </c>
      <c r="D682" s="974">
        <v>121.46</v>
      </c>
      <c r="E682" s="977">
        <v>9533</v>
      </c>
      <c r="F682" s="1249"/>
    </row>
    <row r="683" spans="3:6" hidden="1">
      <c r="C683" s="891">
        <v>41182</v>
      </c>
      <c r="D683" s="974">
        <v>121.46</v>
      </c>
      <c r="E683" s="977">
        <v>9533</v>
      </c>
      <c r="F683" s="1249"/>
    </row>
    <row r="684" spans="3:6" hidden="1">
      <c r="C684" s="891">
        <v>41183</v>
      </c>
      <c r="D684" s="974">
        <v>123.11</v>
      </c>
      <c r="E684" s="977">
        <v>9585</v>
      </c>
      <c r="F684" s="1249"/>
    </row>
    <row r="685" spans="3:6" hidden="1">
      <c r="C685" s="891">
        <v>41184</v>
      </c>
      <c r="D685" s="974">
        <v>123.11</v>
      </c>
      <c r="E685" s="977">
        <v>9585</v>
      </c>
      <c r="F685" s="1249"/>
    </row>
    <row r="686" spans="3:6" hidden="1">
      <c r="C686" s="891">
        <v>41185</v>
      </c>
      <c r="D686" s="974">
        <v>123.11</v>
      </c>
      <c r="E686" s="977">
        <v>9585</v>
      </c>
      <c r="F686" s="1249"/>
    </row>
    <row r="687" spans="3:6" hidden="1">
      <c r="C687" s="891">
        <v>41186</v>
      </c>
      <c r="D687" s="974">
        <v>123.11</v>
      </c>
      <c r="E687" s="977">
        <v>9585</v>
      </c>
      <c r="F687" s="1249"/>
    </row>
    <row r="688" spans="3:6" hidden="1">
      <c r="C688" s="891">
        <v>41187</v>
      </c>
      <c r="D688" s="974">
        <v>123.11</v>
      </c>
      <c r="E688" s="977">
        <v>9585</v>
      </c>
      <c r="F688" s="1249"/>
    </row>
    <row r="689" spans="3:6" hidden="1">
      <c r="C689" s="891">
        <v>41188</v>
      </c>
      <c r="D689" s="974">
        <v>123.11</v>
      </c>
      <c r="E689" s="977">
        <v>9585</v>
      </c>
      <c r="F689" s="1249"/>
    </row>
    <row r="690" spans="3:6" hidden="1">
      <c r="C690" s="891">
        <v>41189</v>
      </c>
      <c r="D690" s="974">
        <v>123.11</v>
      </c>
      <c r="E690" s="977">
        <v>9585</v>
      </c>
      <c r="F690" s="1249"/>
    </row>
    <row r="691" spans="3:6" hidden="1">
      <c r="C691" s="891">
        <v>41190</v>
      </c>
      <c r="D691" s="974">
        <v>122.91</v>
      </c>
      <c r="E691" s="977">
        <v>9593</v>
      </c>
      <c r="F691" s="1249"/>
    </row>
    <row r="692" spans="3:6" hidden="1">
      <c r="C692" s="891">
        <v>41191</v>
      </c>
      <c r="D692" s="974">
        <v>122.91</v>
      </c>
      <c r="E692" s="977">
        <v>9593</v>
      </c>
      <c r="F692" s="1249"/>
    </row>
    <row r="693" spans="3:6" hidden="1">
      <c r="C693" s="891">
        <v>41192</v>
      </c>
      <c r="D693" s="974">
        <v>122.91</v>
      </c>
      <c r="E693" s="977">
        <v>9593</v>
      </c>
      <c r="F693" s="1249"/>
    </row>
    <row r="694" spans="3:6" hidden="1">
      <c r="C694" s="891">
        <v>41193</v>
      </c>
      <c r="D694" s="974">
        <v>122.91</v>
      </c>
      <c r="E694" s="977">
        <v>9593</v>
      </c>
      <c r="F694" s="1249"/>
    </row>
    <row r="695" spans="3:6" hidden="1">
      <c r="C695" s="891">
        <v>41194</v>
      </c>
      <c r="D695" s="974">
        <v>122.91</v>
      </c>
      <c r="E695" s="977">
        <v>9593</v>
      </c>
      <c r="F695" s="1249"/>
    </row>
    <row r="696" spans="3:6" hidden="1">
      <c r="C696" s="891">
        <v>41195</v>
      </c>
      <c r="D696" s="974">
        <v>122.91</v>
      </c>
      <c r="E696" s="977">
        <v>9593</v>
      </c>
      <c r="F696" s="1249"/>
    </row>
    <row r="697" spans="3:6" hidden="1">
      <c r="C697" s="891">
        <v>41196</v>
      </c>
      <c r="D697" s="974">
        <v>122.91</v>
      </c>
      <c r="E697" s="977">
        <v>9593</v>
      </c>
      <c r="F697" s="1249"/>
    </row>
    <row r="698" spans="3:6" hidden="1">
      <c r="C698" s="891">
        <v>41197</v>
      </c>
      <c r="D698" s="974">
        <v>122.91</v>
      </c>
      <c r="E698" s="977">
        <v>9593</v>
      </c>
      <c r="F698" s="1249"/>
    </row>
    <row r="699" spans="3:6" hidden="1">
      <c r="C699" s="891">
        <v>41198</v>
      </c>
      <c r="D699" s="974">
        <v>122.91</v>
      </c>
      <c r="E699" s="977">
        <v>9593</v>
      </c>
      <c r="F699" s="1249"/>
    </row>
    <row r="700" spans="3:6" hidden="1">
      <c r="C700" s="891">
        <v>41199</v>
      </c>
      <c r="D700" s="974">
        <v>122.48</v>
      </c>
      <c r="E700" s="977">
        <v>9612</v>
      </c>
      <c r="F700" s="1249"/>
    </row>
    <row r="701" spans="3:6" hidden="1">
      <c r="C701" s="891">
        <v>41200</v>
      </c>
      <c r="D701" s="974">
        <v>122.48</v>
      </c>
      <c r="E701" s="977">
        <v>9612</v>
      </c>
      <c r="F701" s="1249"/>
    </row>
    <row r="702" spans="3:6" hidden="1">
      <c r="C702" s="891">
        <v>41201</v>
      </c>
      <c r="D702" s="974">
        <v>122.48</v>
      </c>
      <c r="E702" s="977">
        <v>9612</v>
      </c>
      <c r="F702" s="1249"/>
    </row>
    <row r="703" spans="3:6" hidden="1">
      <c r="C703" s="891">
        <v>41202</v>
      </c>
      <c r="D703" s="974">
        <v>122.48</v>
      </c>
      <c r="E703" s="977">
        <v>9612</v>
      </c>
      <c r="F703" s="1249"/>
    </row>
    <row r="704" spans="3:6" hidden="1">
      <c r="C704" s="891">
        <v>41203</v>
      </c>
      <c r="D704" s="974">
        <v>122.48</v>
      </c>
      <c r="E704" s="977">
        <v>9612</v>
      </c>
      <c r="F704" s="1249"/>
    </row>
    <row r="705" spans="3:6" hidden="1">
      <c r="C705" s="891">
        <v>41204</v>
      </c>
      <c r="D705" s="974">
        <v>122.48</v>
      </c>
      <c r="E705" s="977">
        <v>9612</v>
      </c>
      <c r="F705" s="1249"/>
    </row>
    <row r="706" spans="3:6" hidden="1">
      <c r="C706" s="891">
        <v>41205</v>
      </c>
      <c r="D706" s="974">
        <v>122.48</v>
      </c>
      <c r="E706" s="977">
        <v>9612</v>
      </c>
      <c r="F706" s="1249"/>
    </row>
    <row r="707" spans="3:6" hidden="1">
      <c r="C707" s="891">
        <v>41206</v>
      </c>
      <c r="D707" s="974">
        <v>121.66</v>
      </c>
      <c r="E707" s="977">
        <v>9614</v>
      </c>
      <c r="F707" s="1249"/>
    </row>
    <row r="708" spans="3:6" hidden="1">
      <c r="C708" s="891">
        <v>41207</v>
      </c>
      <c r="D708" s="974">
        <v>121.66</v>
      </c>
      <c r="E708" s="977">
        <v>9614</v>
      </c>
      <c r="F708" s="1249"/>
    </row>
    <row r="709" spans="3:6" hidden="1">
      <c r="C709" s="891">
        <v>41208</v>
      </c>
      <c r="D709" s="974">
        <v>121.66</v>
      </c>
      <c r="E709" s="977">
        <v>9614</v>
      </c>
      <c r="F709" s="1249"/>
    </row>
    <row r="710" spans="3:6" hidden="1">
      <c r="C710" s="891">
        <v>41209</v>
      </c>
      <c r="D710" s="974">
        <v>121.66</v>
      </c>
      <c r="E710" s="977">
        <v>9614</v>
      </c>
      <c r="F710" s="1249"/>
    </row>
    <row r="711" spans="3:6" hidden="1">
      <c r="C711" s="891">
        <v>41210</v>
      </c>
      <c r="D711" s="974">
        <v>121.66</v>
      </c>
      <c r="E711" s="977">
        <v>9614</v>
      </c>
      <c r="F711" s="1249"/>
    </row>
    <row r="712" spans="3:6" hidden="1">
      <c r="C712" s="891">
        <v>41211</v>
      </c>
      <c r="D712" s="974">
        <v>121.66</v>
      </c>
      <c r="E712" s="977">
        <v>9614</v>
      </c>
      <c r="F712" s="1249"/>
    </row>
    <row r="713" spans="3:6" hidden="1">
      <c r="C713" s="891">
        <v>41212</v>
      </c>
      <c r="D713" s="974">
        <v>121.66</v>
      </c>
      <c r="E713" s="977">
        <v>9614</v>
      </c>
      <c r="F713" s="1249"/>
    </row>
    <row r="714" spans="3:6" hidden="1">
      <c r="C714" s="891">
        <v>41213</v>
      </c>
      <c r="D714" s="974">
        <v>120.36</v>
      </c>
      <c r="E714" s="977">
        <v>9618</v>
      </c>
      <c r="F714" s="1249"/>
    </row>
    <row r="715" spans="3:6" hidden="1">
      <c r="C715" s="891">
        <v>41214</v>
      </c>
      <c r="D715" s="974">
        <v>120.36</v>
      </c>
      <c r="E715" s="977">
        <v>9618</v>
      </c>
      <c r="F715" s="1249"/>
    </row>
    <row r="716" spans="3:6" hidden="1">
      <c r="C716" s="891">
        <v>41215</v>
      </c>
      <c r="D716" s="974">
        <v>120.36</v>
      </c>
      <c r="E716" s="977">
        <v>9618</v>
      </c>
      <c r="F716" s="1249"/>
    </row>
    <row r="717" spans="3:6" hidden="1">
      <c r="C717" s="891">
        <v>41216</v>
      </c>
      <c r="D717" s="974">
        <v>120.36</v>
      </c>
      <c r="E717" s="977">
        <v>9618</v>
      </c>
      <c r="F717" s="1249"/>
    </row>
    <row r="718" spans="3:6" hidden="1">
      <c r="C718" s="891">
        <v>41217</v>
      </c>
      <c r="D718" s="974">
        <v>120.36</v>
      </c>
      <c r="E718" s="977">
        <v>9618</v>
      </c>
      <c r="F718" s="1249"/>
    </row>
    <row r="719" spans="3:6" hidden="1">
      <c r="C719" s="891">
        <v>41218</v>
      </c>
      <c r="D719" s="974">
        <v>120.36</v>
      </c>
      <c r="E719" s="977">
        <v>9618</v>
      </c>
      <c r="F719" s="1249"/>
    </row>
    <row r="720" spans="3:6" hidden="1">
      <c r="C720" s="891">
        <v>41219</v>
      </c>
      <c r="D720" s="974">
        <v>120.36</v>
      </c>
      <c r="E720" s="977">
        <v>9618</v>
      </c>
      <c r="F720" s="1249"/>
    </row>
    <row r="721" spans="3:6" hidden="1">
      <c r="C721" s="891">
        <v>41220</v>
      </c>
      <c r="D721" s="974">
        <v>120.12</v>
      </c>
      <c r="E721" s="977">
        <v>9629</v>
      </c>
      <c r="F721" s="1249"/>
    </row>
    <row r="722" spans="3:6" hidden="1">
      <c r="C722" s="891">
        <v>41221</v>
      </c>
      <c r="D722" s="974">
        <v>120.12</v>
      </c>
      <c r="E722" s="977">
        <v>9629</v>
      </c>
      <c r="F722" s="1249"/>
    </row>
    <row r="723" spans="3:6" hidden="1">
      <c r="C723" s="891">
        <v>41222</v>
      </c>
      <c r="D723" s="974">
        <v>120.12</v>
      </c>
      <c r="E723" s="977">
        <v>9629</v>
      </c>
      <c r="F723" s="1249"/>
    </row>
    <row r="724" spans="3:6" hidden="1">
      <c r="C724" s="891">
        <v>41223</v>
      </c>
      <c r="D724" s="974">
        <v>120.12</v>
      </c>
      <c r="E724" s="977">
        <v>9629</v>
      </c>
      <c r="F724" s="1249"/>
    </row>
    <row r="725" spans="3:6" hidden="1">
      <c r="C725" s="891">
        <v>41224</v>
      </c>
      <c r="D725" s="974">
        <v>120.12</v>
      </c>
      <c r="E725" s="977">
        <v>9629</v>
      </c>
      <c r="F725" s="1249"/>
    </row>
    <row r="726" spans="3:6" hidden="1">
      <c r="C726" s="891">
        <v>41225</v>
      </c>
      <c r="D726" s="974">
        <v>120.12</v>
      </c>
      <c r="E726" s="977">
        <v>9629</v>
      </c>
      <c r="F726" s="1249"/>
    </row>
    <row r="727" spans="3:6" hidden="1">
      <c r="C727" s="891">
        <v>41226</v>
      </c>
      <c r="D727" s="974">
        <v>120.12</v>
      </c>
      <c r="E727" s="977">
        <v>9629</v>
      </c>
      <c r="F727" s="1249"/>
    </row>
    <row r="728" spans="3:6" hidden="1">
      <c r="C728" s="891">
        <v>41227</v>
      </c>
      <c r="D728" s="974">
        <v>121</v>
      </c>
      <c r="E728" s="977">
        <v>9632</v>
      </c>
      <c r="F728" s="1249"/>
    </row>
    <row r="729" spans="3:6" hidden="1">
      <c r="C729" s="891">
        <v>41228</v>
      </c>
      <c r="D729" s="974">
        <v>121</v>
      </c>
      <c r="E729" s="977">
        <v>9632</v>
      </c>
      <c r="F729" s="1249"/>
    </row>
    <row r="730" spans="3:6" hidden="1">
      <c r="C730" s="891">
        <v>41229</v>
      </c>
      <c r="D730" s="974">
        <v>121</v>
      </c>
      <c r="E730" s="977">
        <v>9632</v>
      </c>
      <c r="F730" s="1249"/>
    </row>
    <row r="731" spans="3:6" hidden="1">
      <c r="C731" s="891">
        <v>41230</v>
      </c>
      <c r="D731" s="974">
        <v>121</v>
      </c>
      <c r="E731" s="977">
        <v>9632</v>
      </c>
      <c r="F731" s="1249"/>
    </row>
    <row r="732" spans="3:6" hidden="1">
      <c r="C732" s="891">
        <v>41231</v>
      </c>
      <c r="D732" s="974">
        <v>121</v>
      </c>
      <c r="E732" s="977">
        <v>9632</v>
      </c>
      <c r="F732" s="1249"/>
    </row>
    <row r="733" spans="3:6" hidden="1">
      <c r="C733" s="891">
        <v>41232</v>
      </c>
      <c r="D733" s="974">
        <v>121</v>
      </c>
      <c r="E733" s="977">
        <v>9632</v>
      </c>
      <c r="F733" s="1249"/>
    </row>
    <row r="734" spans="3:6" hidden="1">
      <c r="C734" s="891">
        <v>41233</v>
      </c>
      <c r="D734" s="974">
        <v>121</v>
      </c>
      <c r="E734" s="977">
        <v>9632</v>
      </c>
      <c r="F734" s="1249"/>
    </row>
    <row r="735" spans="3:6" hidden="1">
      <c r="C735" s="891">
        <v>41234</v>
      </c>
      <c r="D735" s="974">
        <v>118.92</v>
      </c>
      <c r="E735" s="977">
        <v>9632</v>
      </c>
      <c r="F735" s="1249"/>
    </row>
    <row r="736" spans="3:6" hidden="1">
      <c r="C736" s="891">
        <v>41235</v>
      </c>
      <c r="D736" s="974">
        <v>118.92</v>
      </c>
      <c r="E736" s="977">
        <v>9632</v>
      </c>
      <c r="F736" s="1249"/>
    </row>
    <row r="737" spans="3:6" hidden="1">
      <c r="C737" s="891">
        <v>41236</v>
      </c>
      <c r="D737" s="974">
        <v>118.92</v>
      </c>
      <c r="E737" s="977">
        <v>9632</v>
      </c>
      <c r="F737" s="1249"/>
    </row>
    <row r="738" spans="3:6" hidden="1">
      <c r="C738" s="891">
        <v>41237</v>
      </c>
      <c r="D738" s="974">
        <v>118.92</v>
      </c>
      <c r="E738" s="977">
        <v>9632</v>
      </c>
      <c r="F738" s="1249"/>
    </row>
    <row r="739" spans="3:6" hidden="1">
      <c r="C739" s="891">
        <v>41238</v>
      </c>
      <c r="D739" s="974">
        <v>118.92</v>
      </c>
      <c r="E739" s="977">
        <v>9632</v>
      </c>
      <c r="F739" s="1249"/>
    </row>
    <row r="740" spans="3:6" hidden="1">
      <c r="C740" s="891">
        <v>41239</v>
      </c>
      <c r="D740" s="974">
        <v>118.92</v>
      </c>
      <c r="E740" s="977">
        <v>9632</v>
      </c>
      <c r="F740" s="1249"/>
    </row>
    <row r="741" spans="3:6" hidden="1">
      <c r="C741" s="891">
        <v>41240</v>
      </c>
      <c r="D741" s="974">
        <v>118.92</v>
      </c>
      <c r="E741" s="977">
        <v>9632</v>
      </c>
      <c r="F741" s="1249"/>
    </row>
    <row r="742" spans="3:6" hidden="1">
      <c r="C742" s="891">
        <v>41241</v>
      </c>
      <c r="D742" s="974">
        <v>117.1</v>
      </c>
      <c r="E742" s="977">
        <v>9637</v>
      </c>
      <c r="F742" s="1249"/>
    </row>
    <row r="743" spans="3:6" hidden="1">
      <c r="C743" s="891">
        <v>41242</v>
      </c>
      <c r="D743" s="974">
        <v>117.1</v>
      </c>
      <c r="E743" s="977">
        <v>9637</v>
      </c>
      <c r="F743" s="1249"/>
    </row>
    <row r="744" spans="3:6" hidden="1">
      <c r="C744" s="891">
        <v>41243</v>
      </c>
      <c r="D744" s="974">
        <v>117.1</v>
      </c>
      <c r="E744" s="977">
        <v>9637</v>
      </c>
      <c r="F744" s="1249"/>
    </row>
    <row r="745" spans="3:6" hidden="1">
      <c r="C745" s="891">
        <v>41244</v>
      </c>
      <c r="D745" s="974">
        <v>117.1</v>
      </c>
      <c r="E745" s="977">
        <v>9637</v>
      </c>
      <c r="F745" s="1249"/>
    </row>
    <row r="746" spans="3:6" hidden="1">
      <c r="C746" s="891">
        <v>41245</v>
      </c>
      <c r="D746" s="974">
        <v>117.1</v>
      </c>
      <c r="E746" s="977">
        <v>9637</v>
      </c>
      <c r="F746" s="1249"/>
    </row>
    <row r="747" spans="3:6" hidden="1">
      <c r="C747" s="891">
        <v>41246</v>
      </c>
      <c r="D747" s="974">
        <v>117.1</v>
      </c>
      <c r="E747" s="977">
        <v>9637</v>
      </c>
      <c r="F747" s="1249"/>
    </row>
    <row r="748" spans="3:6" hidden="1">
      <c r="C748" s="891">
        <v>41247</v>
      </c>
      <c r="D748" s="974">
        <v>117.1</v>
      </c>
      <c r="E748" s="977">
        <v>9637</v>
      </c>
      <c r="F748" s="1249"/>
    </row>
    <row r="749" spans="3:6" hidden="1">
      <c r="C749" s="891">
        <v>41248</v>
      </c>
      <c r="D749" s="974">
        <v>117.15</v>
      </c>
      <c r="E749" s="977">
        <v>9629</v>
      </c>
      <c r="F749" s="1249"/>
    </row>
    <row r="750" spans="3:6" hidden="1">
      <c r="C750" s="891">
        <v>41249</v>
      </c>
      <c r="D750" s="974">
        <v>117.15</v>
      </c>
      <c r="E750" s="977">
        <v>9629</v>
      </c>
      <c r="F750" s="1249"/>
    </row>
    <row r="751" spans="3:6" hidden="1">
      <c r="C751" s="891">
        <v>41250</v>
      </c>
      <c r="D751" s="974">
        <v>117.15</v>
      </c>
      <c r="E751" s="977">
        <v>9629</v>
      </c>
      <c r="F751" s="1249"/>
    </row>
    <row r="752" spans="3:6" hidden="1">
      <c r="C752" s="891">
        <v>41251</v>
      </c>
      <c r="D752" s="974">
        <v>117.15</v>
      </c>
      <c r="E752" s="977">
        <v>9629</v>
      </c>
      <c r="F752" s="1249"/>
    </row>
    <row r="753" spans="3:6" hidden="1">
      <c r="C753" s="891">
        <v>41252</v>
      </c>
      <c r="D753" s="974">
        <v>117.15</v>
      </c>
      <c r="E753" s="977">
        <v>9629</v>
      </c>
      <c r="F753" s="1249"/>
    </row>
    <row r="754" spans="3:6" hidden="1">
      <c r="C754" s="891">
        <v>41253</v>
      </c>
      <c r="D754" s="974">
        <v>117.15</v>
      </c>
      <c r="E754" s="977">
        <v>9629</v>
      </c>
      <c r="F754" s="1249"/>
    </row>
    <row r="755" spans="3:6" hidden="1">
      <c r="C755" s="891">
        <v>41254</v>
      </c>
      <c r="D755" s="974">
        <v>117.15</v>
      </c>
      <c r="E755" s="977">
        <v>9629</v>
      </c>
      <c r="F755" s="1249"/>
    </row>
    <row r="756" spans="3:6" hidden="1">
      <c r="C756" s="891">
        <v>41255</v>
      </c>
      <c r="D756" s="974">
        <v>117.32</v>
      </c>
      <c r="E756" s="977">
        <v>9659</v>
      </c>
      <c r="F756" s="1249"/>
    </row>
    <row r="757" spans="3:6" hidden="1">
      <c r="C757" s="891">
        <v>41256</v>
      </c>
      <c r="D757" s="974">
        <v>117.32</v>
      </c>
      <c r="E757" s="977">
        <v>9659</v>
      </c>
      <c r="F757" s="1249"/>
    </row>
    <row r="758" spans="3:6" hidden="1">
      <c r="C758" s="891">
        <v>41257</v>
      </c>
      <c r="D758" s="974">
        <v>117.32</v>
      </c>
      <c r="E758" s="977">
        <v>9659</v>
      </c>
      <c r="F758" s="1249"/>
    </row>
    <row r="759" spans="3:6" hidden="1">
      <c r="C759" s="891">
        <v>41258</v>
      </c>
      <c r="D759" s="974">
        <v>117.32</v>
      </c>
      <c r="E759" s="977">
        <v>9659</v>
      </c>
      <c r="F759" s="1249"/>
    </row>
    <row r="760" spans="3:6" hidden="1">
      <c r="C760" s="891">
        <v>41259</v>
      </c>
      <c r="D760" s="974">
        <v>117.32</v>
      </c>
      <c r="E760" s="977">
        <v>9659</v>
      </c>
      <c r="F760" s="1249"/>
    </row>
    <row r="761" spans="3:6" hidden="1">
      <c r="C761" s="891">
        <v>41260</v>
      </c>
      <c r="D761" s="974">
        <v>117.32</v>
      </c>
      <c r="E761" s="977">
        <v>9659</v>
      </c>
      <c r="F761" s="1249"/>
    </row>
    <row r="762" spans="3:6" hidden="1">
      <c r="C762" s="891">
        <v>41261</v>
      </c>
      <c r="D762" s="974">
        <v>117.32</v>
      </c>
      <c r="E762" s="977">
        <v>9659</v>
      </c>
      <c r="F762" s="1249"/>
    </row>
    <row r="763" spans="3:6" hidden="1">
      <c r="C763" s="891">
        <v>41262</v>
      </c>
      <c r="D763" s="974">
        <v>116.27</v>
      </c>
      <c r="E763" s="977">
        <v>9686</v>
      </c>
      <c r="F763" s="1249"/>
    </row>
    <row r="764" spans="3:6" hidden="1">
      <c r="C764" s="891">
        <v>41263</v>
      </c>
      <c r="D764" s="974">
        <v>116.27</v>
      </c>
      <c r="E764" s="977">
        <v>9686</v>
      </c>
      <c r="F764" s="1249"/>
    </row>
    <row r="765" spans="3:6" hidden="1">
      <c r="C765" s="891">
        <v>41264</v>
      </c>
      <c r="D765" s="974">
        <v>116.27</v>
      </c>
      <c r="E765" s="977">
        <v>9686</v>
      </c>
      <c r="F765" s="1249"/>
    </row>
    <row r="766" spans="3:6" hidden="1">
      <c r="C766" s="891">
        <v>41265</v>
      </c>
      <c r="D766" s="974">
        <v>116.27</v>
      </c>
      <c r="E766" s="977">
        <v>9686</v>
      </c>
      <c r="F766" s="1249"/>
    </row>
    <row r="767" spans="3:6" hidden="1">
      <c r="C767" s="891">
        <v>41266</v>
      </c>
      <c r="D767" s="974">
        <v>116.27</v>
      </c>
      <c r="E767" s="977">
        <v>9686</v>
      </c>
      <c r="F767" s="1249"/>
    </row>
    <row r="768" spans="3:6" hidden="1">
      <c r="C768" s="891">
        <v>41267</v>
      </c>
      <c r="D768" s="974">
        <v>116.27</v>
      </c>
      <c r="E768" s="977">
        <v>9686</v>
      </c>
      <c r="F768" s="1249"/>
    </row>
    <row r="769" spans="3:6" hidden="1">
      <c r="C769" s="891">
        <v>41268</v>
      </c>
      <c r="D769" s="974">
        <v>116.27</v>
      </c>
      <c r="E769" s="977">
        <v>9686</v>
      </c>
      <c r="F769" s="1249"/>
    </row>
    <row r="770" spans="3:6" hidden="1">
      <c r="C770" s="891">
        <v>41269</v>
      </c>
      <c r="D770" s="974">
        <v>115.39</v>
      </c>
      <c r="E770" s="977">
        <v>9708</v>
      </c>
      <c r="F770" s="1249"/>
    </row>
    <row r="771" spans="3:6" hidden="1">
      <c r="C771" s="891">
        <v>41270</v>
      </c>
      <c r="D771" s="974">
        <v>115.39</v>
      </c>
      <c r="E771" s="977">
        <v>9708</v>
      </c>
      <c r="F771" s="1249"/>
    </row>
    <row r="772" spans="3:6" hidden="1">
      <c r="C772" s="891">
        <v>41271</v>
      </c>
      <c r="D772" s="974">
        <v>115.39</v>
      </c>
      <c r="E772" s="977">
        <v>9708</v>
      </c>
      <c r="F772" s="1249"/>
    </row>
    <row r="773" spans="3:6" hidden="1">
      <c r="C773" s="891">
        <v>41272</v>
      </c>
      <c r="D773" s="974">
        <v>115.39</v>
      </c>
      <c r="E773" s="977">
        <v>9708</v>
      </c>
      <c r="F773" s="1249"/>
    </row>
    <row r="774" spans="3:6" hidden="1">
      <c r="C774" s="891">
        <v>41273</v>
      </c>
      <c r="D774" s="974">
        <v>115.39</v>
      </c>
      <c r="E774" s="977">
        <v>9708</v>
      </c>
      <c r="F774" s="1249"/>
    </row>
    <row r="775" spans="3:6" hidden="1">
      <c r="C775" s="891">
        <v>41274</v>
      </c>
      <c r="D775" s="974">
        <v>115.39</v>
      </c>
      <c r="E775" s="977">
        <v>9708</v>
      </c>
      <c r="F775" s="1249"/>
    </row>
    <row r="776" spans="2:6" hidden="1">
      <c r="B776" s="1247" t="s">
        <v>520</v>
      </c>
      <c r="C776" s="891"/>
      <c r="D776" s="974"/>
      <c r="E776" s="895"/>
      <c r="F776" s="1249"/>
    </row>
    <row r="777" spans="3:6" hidden="1">
      <c r="C777" s="976" t="s">
        <v>579</v>
      </c>
      <c r="D777" s="361">
        <v>116.75</v>
      </c>
      <c r="E777" s="895">
        <v>9047.44</v>
      </c>
      <c r="F777" s="1249"/>
    </row>
    <row r="778" spans="3:6" hidden="1">
      <c r="C778" s="976" t="s">
        <v>580</v>
      </c>
      <c r="D778" s="361">
        <v>115.09</v>
      </c>
      <c r="E778" s="895">
        <v>9078.15</v>
      </c>
      <c r="F778" s="1249"/>
    </row>
    <row r="779" spans="3:6" hidden="1">
      <c r="C779" s="976" t="s">
        <v>581</v>
      </c>
      <c r="D779" s="361">
        <v>114.32</v>
      </c>
      <c r="E779" s="895">
        <v>9105.17</v>
      </c>
      <c r="F779" s="1249"/>
    </row>
    <row r="780" spans="3:6" hidden="1">
      <c r="C780" s="976" t="s">
        <v>582</v>
      </c>
      <c r="D780" s="361">
        <v>114.58</v>
      </c>
      <c r="E780" s="895">
        <v>9130.14</v>
      </c>
      <c r="F780" s="1249"/>
    </row>
    <row r="781" spans="3:6" hidden="1">
      <c r="C781" s="976" t="s">
        <v>583</v>
      </c>
      <c r="D781" s="361">
        <v>115.25</v>
      </c>
      <c r="E781" s="895">
        <v>9176.27</v>
      </c>
      <c r="F781" s="1249"/>
    </row>
    <row r="782" spans="3:6" hidden="1">
      <c r="C782" s="976" t="s">
        <v>584</v>
      </c>
      <c r="D782" s="361">
        <v>115.94</v>
      </c>
      <c r="E782" s="895">
        <v>9221.71</v>
      </c>
      <c r="F782" s="1249"/>
    </row>
    <row r="783" spans="3:6" hidden="1">
      <c r="C783" s="976" t="s">
        <v>585</v>
      </c>
      <c r="D783" s="361">
        <v>116.39</v>
      </c>
      <c r="E783" s="895">
        <v>9244.59</v>
      </c>
      <c r="F783" s="1249"/>
    </row>
    <row r="784" spans="3:6" hidden="1">
      <c r="C784" s="976" t="s">
        <v>586</v>
      </c>
      <c r="D784" s="361">
        <v>116.98</v>
      </c>
      <c r="E784" s="895">
        <v>9278.32</v>
      </c>
      <c r="F784" s="1249"/>
    </row>
    <row r="785" spans="3:6" hidden="1">
      <c r="C785" s="976" t="s">
        <v>587</v>
      </c>
      <c r="D785" s="361">
        <v>117.57</v>
      </c>
      <c r="E785" s="895">
        <v>9316.23</v>
      </c>
      <c r="F785" s="1249"/>
    </row>
    <row r="786" spans="3:6" hidden="1">
      <c r="C786" s="976" t="s">
        <v>588</v>
      </c>
      <c r="D786" s="361">
        <v>117.72</v>
      </c>
      <c r="E786" s="895">
        <v>9343.15</v>
      </c>
      <c r="F786" s="1249"/>
    </row>
    <row r="787" spans="3:6" hidden="1">
      <c r="C787" s="976" t="s">
        <v>609</v>
      </c>
      <c r="D787" s="361">
        <v>117.63</v>
      </c>
      <c r="E787" s="895">
        <v>9368.82</v>
      </c>
      <c r="F787" s="1249"/>
    </row>
    <row r="788" spans="3:6" hidden="1">
      <c r="C788" s="976" t="s">
        <v>589</v>
      </c>
      <c r="D788" s="361">
        <v>117.62</v>
      </c>
      <c r="E788" s="895">
        <v>9400.2</v>
      </c>
      <c r="F788" s="1249"/>
    </row>
    <row r="789" spans="3:6" hidden="1">
      <c r="C789" s="976" t="s">
        <v>590</v>
      </c>
      <c r="D789" s="361">
        <v>117.81</v>
      </c>
      <c r="E789" s="895">
        <v>9437.69</v>
      </c>
      <c r="F789" s="1249"/>
    </row>
    <row r="790" spans="3:6" hidden="1">
      <c r="C790" s="976" t="s">
        <v>591</v>
      </c>
      <c r="D790" s="361">
        <v>118.5</v>
      </c>
      <c r="E790" s="895">
        <v>9468.26</v>
      </c>
      <c r="F790" s="1249"/>
    </row>
    <row r="791" spans="3:6" hidden="1">
      <c r="C791" s="976" t="s">
        <v>592</v>
      </c>
      <c r="D791" s="361">
        <v>119.43</v>
      </c>
      <c r="E791" s="895">
        <v>9512.64</v>
      </c>
      <c r="F791" s="1249"/>
    </row>
    <row r="792" spans="3:6" hidden="1">
      <c r="C792" s="976" t="s">
        <v>593</v>
      </c>
      <c r="D792" s="361">
        <v>119.94</v>
      </c>
      <c r="E792" s="895">
        <v>9549.9</v>
      </c>
      <c r="F792" s="1249"/>
    </row>
    <row r="793" spans="3:6" hidden="1">
      <c r="C793" s="976" t="s">
        <v>594</v>
      </c>
      <c r="D793" s="361">
        <v>120.1</v>
      </c>
      <c r="E793" s="895">
        <v>9569.08</v>
      </c>
      <c r="F793" s="1249"/>
    </row>
    <row r="794" spans="3:6" hidden="1">
      <c r="C794" s="976" t="s">
        <v>595</v>
      </c>
      <c r="D794" s="361">
        <v>120.24</v>
      </c>
      <c r="E794" s="895">
        <v>9596.85</v>
      </c>
      <c r="F794" s="1249"/>
    </row>
    <row r="795" spans="3:6" hidden="1">
      <c r="C795" s="976" t="s">
        <v>596</v>
      </c>
      <c r="D795" s="361">
        <v>120.1</v>
      </c>
      <c r="E795" s="895">
        <v>9617.29</v>
      </c>
      <c r="F795" s="1249"/>
    </row>
    <row r="796" spans="3:6" hidden="1">
      <c r="C796" s="976" t="s">
        <v>597</v>
      </c>
      <c r="D796" s="361">
        <v>119.52</v>
      </c>
      <c r="E796" s="895">
        <v>9633.38</v>
      </c>
      <c r="F796" s="1249"/>
    </row>
    <row r="797" spans="3:6" hidden="1">
      <c r="C797" s="976" t="s">
        <v>598</v>
      </c>
      <c r="D797" s="361">
        <v>117.91</v>
      </c>
      <c r="E797" s="895">
        <v>9651.5</v>
      </c>
      <c r="F797" s="1249"/>
    </row>
    <row r="798" spans="2:6" hidden="1">
      <c r="B798" s="1247" t="s">
        <v>517</v>
      </c>
      <c r="C798" s="976"/>
      <c r="D798" s="974"/>
      <c r="E798" s="895"/>
      <c r="F798" s="1249"/>
    </row>
    <row r="799" spans="3:6" hidden="1">
      <c r="C799" s="892" t="s">
        <v>535</v>
      </c>
      <c r="D799" s="361">
        <v>117.64</v>
      </c>
      <c r="E799" s="895">
        <v>9080.2</v>
      </c>
      <c r="F799" s="1249"/>
    </row>
    <row r="800" spans="3:6" hidden="1">
      <c r="C800" s="892" t="s">
        <v>536</v>
      </c>
      <c r="D800" s="361">
        <v>115.63</v>
      </c>
      <c r="E800" s="895">
        <v>9006.5</v>
      </c>
      <c r="F800" s="1249"/>
    </row>
    <row r="801" spans="3:6" hidden="1">
      <c r="C801" s="892" t="s">
        <v>537</v>
      </c>
      <c r="D801" s="361">
        <v>111.34</v>
      </c>
      <c r="E801" s="895">
        <v>9147.25</v>
      </c>
      <c r="F801" s="1249"/>
    </row>
    <row r="802" spans="3:6" hidden="1">
      <c r="C802" s="892" t="s">
        <v>538</v>
      </c>
      <c r="D802" s="361">
        <v>112.34</v>
      </c>
      <c r="E802" s="895">
        <v>9175.4</v>
      </c>
      <c r="F802" s="1249"/>
    </row>
    <row r="803" spans="3:6" hidden="1">
      <c r="C803" s="892" t="s">
        <v>539</v>
      </c>
      <c r="D803" s="361">
        <v>115.73</v>
      </c>
      <c r="E803" s="895">
        <v>9242.5</v>
      </c>
      <c r="F803" s="1249"/>
    </row>
    <row r="804" spans="3:6" hidden="1">
      <c r="C804" s="892" t="s">
        <v>540</v>
      </c>
      <c r="D804" s="361">
        <v>118.96</v>
      </c>
      <c r="E804" s="895">
        <v>9430</v>
      </c>
      <c r="F804" s="1249"/>
    </row>
    <row r="805" spans="3:6" hidden="1">
      <c r="C805" s="892" t="s">
        <v>541</v>
      </c>
      <c r="D805" s="361">
        <v>119.53</v>
      </c>
      <c r="E805" s="895">
        <v>9458</v>
      </c>
      <c r="F805" s="1249"/>
    </row>
    <row r="806" spans="3:6" hidden="1">
      <c r="C806" s="892" t="s">
        <v>542</v>
      </c>
      <c r="D806" s="361">
        <v>121.02</v>
      </c>
      <c r="E806" s="895">
        <v>9481</v>
      </c>
      <c r="F806" s="1249"/>
    </row>
    <row r="807" spans="3:6" hidden="1">
      <c r="C807" s="892" t="s">
        <v>543</v>
      </c>
      <c r="D807" s="361">
        <v>121.97</v>
      </c>
      <c r="E807" s="895">
        <v>9565</v>
      </c>
      <c r="F807" s="1249"/>
    </row>
    <row r="808" spans="3:6" hidden="1">
      <c r="C808" s="892" t="s">
        <v>544</v>
      </c>
      <c r="D808" s="361">
        <v>122.11</v>
      </c>
      <c r="E808" s="895">
        <v>9604.4</v>
      </c>
      <c r="F808" s="1249"/>
    </row>
    <row r="809" spans="3:6" hidden="1">
      <c r="C809" s="892" t="s">
        <v>545</v>
      </c>
      <c r="D809" s="361">
        <v>119.29</v>
      </c>
      <c r="E809" s="895">
        <v>9632.5</v>
      </c>
      <c r="F809" s="1249"/>
    </row>
    <row r="810" spans="3:6" hidden="1">
      <c r="C810" s="892" t="s">
        <v>546</v>
      </c>
      <c r="D810" s="361">
        <v>116.53</v>
      </c>
      <c r="E810" s="895">
        <v>9670.5</v>
      </c>
      <c r="F810" s="1249"/>
    </row>
    <row r="811" spans="3:6" hidden="1">
      <c r="C811" s="892"/>
      <c r="D811" s="361"/>
      <c r="E811" s="895"/>
      <c r="F811" s="1249"/>
    </row>
    <row r="812" spans="1:6">
      <c r="A812" s="1247" t="s">
        <v>521</v>
      </c>
      <c r="C812" s="891"/>
      <c r="D812" s="974"/>
      <c r="E812" s="895"/>
      <c r="F812" s="1249"/>
    </row>
    <row r="813" spans="2:6" hidden="1">
      <c r="B813" s="1247" t="s">
        <v>519</v>
      </c>
      <c r="C813" s="891"/>
      <c r="D813" s="974"/>
      <c r="E813" s="895"/>
      <c r="F813" s="1249"/>
    </row>
    <row r="814" spans="3:6" hidden="1">
      <c r="C814" s="891">
        <v>41275</v>
      </c>
      <c r="D814" s="361">
        <v>115.39</v>
      </c>
      <c r="E814" s="977">
        <v>9708</v>
      </c>
      <c r="F814" s="1249"/>
    </row>
    <row r="815" spans="3:6" hidden="1">
      <c r="C815" s="891">
        <v>41276</v>
      </c>
      <c r="D815" s="361">
        <v>114.47</v>
      </c>
      <c r="E815" s="895">
        <v>9771</v>
      </c>
      <c r="F815" s="1249"/>
    </row>
    <row r="816" spans="3:6" hidden="1">
      <c r="C816" s="891">
        <v>41277</v>
      </c>
      <c r="D816" s="361">
        <v>114.47</v>
      </c>
      <c r="E816" s="895">
        <v>9771</v>
      </c>
      <c r="F816" s="1249"/>
    </row>
    <row r="817" spans="3:6" hidden="1">
      <c r="C817" s="891">
        <v>41278</v>
      </c>
      <c r="D817" s="361">
        <v>114.47</v>
      </c>
      <c r="E817" s="895">
        <v>9771</v>
      </c>
      <c r="F817" s="1249"/>
    </row>
    <row r="818" spans="3:6" hidden="1">
      <c r="C818" s="891">
        <v>41279</v>
      </c>
      <c r="D818" s="361">
        <v>114.47</v>
      </c>
      <c r="E818" s="895">
        <v>9771</v>
      </c>
      <c r="F818" s="1249"/>
    </row>
    <row r="819" spans="3:6" hidden="1">
      <c r="C819" s="891">
        <v>41280</v>
      </c>
      <c r="D819" s="361">
        <v>114.47</v>
      </c>
      <c r="E819" s="895">
        <v>9771</v>
      </c>
      <c r="F819" s="1249"/>
    </row>
    <row r="820" spans="3:6" hidden="1">
      <c r="C820" s="891">
        <v>41281</v>
      </c>
      <c r="D820" s="361">
        <v>114.47</v>
      </c>
      <c r="E820" s="895">
        <v>9771</v>
      </c>
      <c r="F820" s="1249"/>
    </row>
    <row r="821" spans="3:6" hidden="1">
      <c r="C821" s="891">
        <v>41282</v>
      </c>
      <c r="D821" s="361">
        <v>114.47</v>
      </c>
      <c r="E821" s="895">
        <v>9771</v>
      </c>
      <c r="F821" s="1249"/>
    </row>
    <row r="822" spans="3:6" hidden="1">
      <c r="C822" s="891">
        <v>41283</v>
      </c>
      <c r="D822" s="361">
        <v>111.43</v>
      </c>
      <c r="E822" s="895">
        <v>9738</v>
      </c>
      <c r="F822" s="1249"/>
    </row>
    <row r="823" spans="3:6" hidden="1">
      <c r="C823" s="891">
        <v>41284</v>
      </c>
      <c r="D823" s="361">
        <v>111.43</v>
      </c>
      <c r="E823" s="895">
        <v>9738</v>
      </c>
      <c r="F823" s="1249"/>
    </row>
    <row r="824" spans="3:6" hidden="1">
      <c r="C824" s="891">
        <v>41285</v>
      </c>
      <c r="D824" s="361">
        <v>111.43</v>
      </c>
      <c r="E824" s="895">
        <v>9738</v>
      </c>
      <c r="F824" s="1249"/>
    </row>
    <row r="825" spans="3:6" hidden="1">
      <c r="C825" s="891">
        <v>41286</v>
      </c>
      <c r="D825" s="361">
        <v>111.43</v>
      </c>
      <c r="E825" s="895">
        <v>9738</v>
      </c>
      <c r="F825" s="1249"/>
    </row>
    <row r="826" spans="3:6" hidden="1">
      <c r="C826" s="891">
        <v>41287</v>
      </c>
      <c r="D826" s="361">
        <v>111.43</v>
      </c>
      <c r="E826" s="895">
        <v>9738</v>
      </c>
      <c r="F826" s="1249"/>
    </row>
    <row r="827" spans="3:6" hidden="1">
      <c r="C827" s="891">
        <v>41288</v>
      </c>
      <c r="D827" s="361">
        <v>111.43</v>
      </c>
      <c r="E827" s="895">
        <v>9738</v>
      </c>
      <c r="F827" s="1249"/>
    </row>
    <row r="828" spans="3:6" hidden="1">
      <c r="C828" s="891">
        <v>41289</v>
      </c>
      <c r="D828" s="361">
        <v>111.43</v>
      </c>
      <c r="E828" s="895">
        <v>9738</v>
      </c>
      <c r="F828" s="1249"/>
    </row>
    <row r="829" spans="3:6" hidden="1">
      <c r="C829" s="891">
        <v>41290</v>
      </c>
      <c r="D829" s="361">
        <v>111.16</v>
      </c>
      <c r="E829" s="895">
        <v>9821</v>
      </c>
      <c r="F829" s="1249"/>
    </row>
    <row r="830" spans="3:6" hidden="1">
      <c r="C830" s="891">
        <v>41291</v>
      </c>
      <c r="D830" s="361">
        <v>111.16</v>
      </c>
      <c r="E830" s="895">
        <v>9821</v>
      </c>
      <c r="F830" s="1249"/>
    </row>
    <row r="831" spans="3:6" hidden="1">
      <c r="C831" s="891">
        <v>41292</v>
      </c>
      <c r="D831" s="361">
        <v>111.16</v>
      </c>
      <c r="E831" s="895">
        <v>9821</v>
      </c>
      <c r="F831" s="1249"/>
    </row>
    <row r="832" spans="3:6" hidden="1">
      <c r="C832" s="891">
        <v>41293</v>
      </c>
      <c r="D832" s="361">
        <v>111.16</v>
      </c>
      <c r="E832" s="895">
        <v>9821</v>
      </c>
      <c r="F832" s="1249"/>
    </row>
    <row r="833" spans="3:6" hidden="1">
      <c r="C833" s="891">
        <v>41294</v>
      </c>
      <c r="D833" s="361">
        <v>111.16</v>
      </c>
      <c r="E833" s="895">
        <v>9821</v>
      </c>
      <c r="F833" s="1249"/>
    </row>
    <row r="834" spans="3:6" hidden="1">
      <c r="C834" s="891">
        <v>41295</v>
      </c>
      <c r="D834" s="361">
        <v>111.16</v>
      </c>
      <c r="E834" s="895">
        <v>9821</v>
      </c>
      <c r="F834" s="1249"/>
    </row>
    <row r="835" spans="3:6" hidden="1">
      <c r="C835" s="891">
        <v>41296</v>
      </c>
      <c r="D835" s="361">
        <v>111.16</v>
      </c>
      <c r="E835" s="895">
        <v>9821</v>
      </c>
      <c r="F835" s="1249"/>
    </row>
    <row r="836" spans="3:6" hidden="1">
      <c r="C836" s="891">
        <v>41297</v>
      </c>
      <c r="D836" s="361">
        <v>109.27</v>
      </c>
      <c r="E836" s="895">
        <v>9763</v>
      </c>
      <c r="F836" s="1249"/>
    </row>
    <row r="837" spans="3:6" hidden="1">
      <c r="C837" s="891">
        <v>41298</v>
      </c>
      <c r="D837" s="361">
        <v>109.27</v>
      </c>
      <c r="E837" s="895">
        <v>9763</v>
      </c>
      <c r="F837" s="1249"/>
    </row>
    <row r="838" spans="3:6" hidden="1">
      <c r="C838" s="891">
        <v>41299</v>
      </c>
      <c r="D838" s="361">
        <v>109.27</v>
      </c>
      <c r="E838" s="895">
        <v>9763</v>
      </c>
      <c r="F838" s="1249"/>
    </row>
    <row r="839" spans="3:6" hidden="1">
      <c r="C839" s="891">
        <v>41300</v>
      </c>
      <c r="D839" s="361">
        <v>109.27</v>
      </c>
      <c r="E839" s="895">
        <v>9763</v>
      </c>
      <c r="F839" s="1249"/>
    </row>
    <row r="840" spans="3:6" hidden="1">
      <c r="C840" s="891">
        <v>41301</v>
      </c>
      <c r="D840" s="361">
        <v>109.27</v>
      </c>
      <c r="E840" s="895">
        <v>9763</v>
      </c>
      <c r="F840" s="1249"/>
    </row>
    <row r="841" spans="3:6" hidden="1">
      <c r="C841" s="891">
        <v>41302</v>
      </c>
      <c r="D841" s="361">
        <v>109.27</v>
      </c>
      <c r="E841" s="895">
        <v>9763</v>
      </c>
      <c r="F841" s="1249"/>
    </row>
    <row r="842" spans="3:6" hidden="1">
      <c r="C842" s="891">
        <v>41303</v>
      </c>
      <c r="D842" s="361">
        <v>109.27</v>
      </c>
      <c r="E842" s="895">
        <v>9763</v>
      </c>
      <c r="F842" s="1249"/>
    </row>
    <row r="843" spans="3:6" hidden="1">
      <c r="C843" s="891">
        <v>41304</v>
      </c>
      <c r="D843" s="361">
        <v>107.49</v>
      </c>
      <c r="E843" s="895">
        <v>9666</v>
      </c>
      <c r="F843" s="1249"/>
    </row>
    <row r="844" spans="3:6" hidden="1">
      <c r="C844" s="891">
        <v>41305</v>
      </c>
      <c r="D844" s="361">
        <v>107.49</v>
      </c>
      <c r="E844" s="895">
        <v>9666</v>
      </c>
      <c r="F844" s="1249"/>
    </row>
    <row r="845" spans="3:6" hidden="1">
      <c r="C845" s="891">
        <v>41306</v>
      </c>
      <c r="D845" s="361">
        <v>107.49</v>
      </c>
      <c r="E845" s="895">
        <v>9666</v>
      </c>
      <c r="F845" s="1249"/>
    </row>
    <row r="846" spans="3:6" hidden="1">
      <c r="C846" s="891">
        <v>41307</v>
      </c>
      <c r="D846" s="361">
        <v>107.49</v>
      </c>
      <c r="E846" s="895">
        <v>9666</v>
      </c>
      <c r="F846" s="1249"/>
    </row>
    <row r="847" spans="3:6" hidden="1">
      <c r="C847" s="891">
        <v>41308</v>
      </c>
      <c r="D847" s="361">
        <v>107.49</v>
      </c>
      <c r="E847" s="895">
        <v>9666</v>
      </c>
      <c r="F847" s="1249"/>
    </row>
    <row r="848" spans="3:6" hidden="1">
      <c r="C848" s="891">
        <v>41309</v>
      </c>
      <c r="D848" s="361">
        <v>107.49</v>
      </c>
      <c r="E848" s="895">
        <v>9666</v>
      </c>
      <c r="F848" s="1249"/>
    </row>
    <row r="849" spans="3:6" hidden="1">
      <c r="C849" s="891">
        <v>41310</v>
      </c>
      <c r="D849" s="361">
        <v>107.49</v>
      </c>
      <c r="E849" s="895">
        <v>9666</v>
      </c>
      <c r="F849" s="1249"/>
    </row>
    <row r="850" spans="3:6" hidden="1">
      <c r="C850" s="891">
        <v>41311</v>
      </c>
      <c r="D850" s="361">
        <v>105.89</v>
      </c>
      <c r="E850" s="895">
        <v>9705</v>
      </c>
      <c r="F850" s="1249"/>
    </row>
    <row r="851" spans="3:6" hidden="1">
      <c r="C851" s="891">
        <v>41312</v>
      </c>
      <c r="D851" s="361">
        <v>105.89</v>
      </c>
      <c r="E851" s="895">
        <v>9705</v>
      </c>
      <c r="F851" s="1249"/>
    </row>
    <row r="852" spans="3:6" hidden="1">
      <c r="C852" s="891">
        <v>41313</v>
      </c>
      <c r="D852" s="361">
        <v>105.89</v>
      </c>
      <c r="E852" s="895">
        <v>9705</v>
      </c>
      <c r="F852" s="1249"/>
    </row>
    <row r="853" spans="3:6" hidden="1">
      <c r="C853" s="891">
        <v>41314</v>
      </c>
      <c r="D853" s="361">
        <v>105.89</v>
      </c>
      <c r="E853" s="895">
        <v>9705</v>
      </c>
      <c r="F853" s="1249"/>
    </row>
    <row r="854" spans="3:6" hidden="1">
      <c r="C854" s="891">
        <v>41315</v>
      </c>
      <c r="D854" s="361">
        <v>105.89</v>
      </c>
      <c r="E854" s="895">
        <v>9705</v>
      </c>
      <c r="F854" s="1249"/>
    </row>
    <row r="855" spans="3:6" hidden="1">
      <c r="C855" s="891">
        <v>41316</v>
      </c>
      <c r="D855" s="361">
        <v>105.89</v>
      </c>
      <c r="E855" s="895">
        <v>9705</v>
      </c>
      <c r="F855" s="1249"/>
    </row>
    <row r="856" spans="3:6" hidden="1">
      <c r="C856" s="891">
        <v>41317</v>
      </c>
      <c r="D856" s="361">
        <v>105.89</v>
      </c>
      <c r="E856" s="895">
        <v>9705</v>
      </c>
      <c r="F856" s="1249"/>
    </row>
    <row r="857" spans="3:6" hidden="1">
      <c r="C857" s="891">
        <v>41318</v>
      </c>
      <c r="D857" s="361">
        <v>103.82</v>
      </c>
      <c r="E857" s="895">
        <v>9671</v>
      </c>
      <c r="F857" s="1249"/>
    </row>
    <row r="858" spans="3:6" hidden="1">
      <c r="C858" s="891">
        <v>41319</v>
      </c>
      <c r="D858" s="361">
        <v>103.82</v>
      </c>
      <c r="E858" s="895">
        <v>9671</v>
      </c>
      <c r="F858" s="1249"/>
    </row>
    <row r="859" spans="3:6" hidden="1">
      <c r="C859" s="891">
        <v>41320</v>
      </c>
      <c r="D859" s="361">
        <v>103.82</v>
      </c>
      <c r="E859" s="895">
        <v>9671</v>
      </c>
      <c r="F859" s="1249"/>
    </row>
    <row r="860" spans="3:6" hidden="1">
      <c r="C860" s="891">
        <v>41321</v>
      </c>
      <c r="D860" s="361">
        <v>103.82</v>
      </c>
      <c r="E860" s="895">
        <v>9671</v>
      </c>
      <c r="F860" s="1249"/>
    </row>
    <row r="861" spans="3:6" hidden="1">
      <c r="C861" s="891">
        <v>41322</v>
      </c>
      <c r="D861" s="361">
        <v>103.82</v>
      </c>
      <c r="E861" s="895">
        <v>9671</v>
      </c>
      <c r="F861" s="1249"/>
    </row>
    <row r="862" spans="3:6" hidden="1">
      <c r="C862" s="891">
        <v>41323</v>
      </c>
      <c r="D862" s="361">
        <v>103.82</v>
      </c>
      <c r="E862" s="895">
        <v>9671</v>
      </c>
      <c r="F862" s="1249"/>
    </row>
    <row r="863" spans="3:6" hidden="1">
      <c r="C863" s="891">
        <v>41324</v>
      </c>
      <c r="D863" s="361">
        <v>103.82</v>
      </c>
      <c r="E863" s="895">
        <v>9671</v>
      </c>
      <c r="F863" s="1249"/>
    </row>
    <row r="864" spans="3:6" hidden="1">
      <c r="C864" s="891">
        <v>41325</v>
      </c>
      <c r="D864" s="361">
        <v>102.95</v>
      </c>
      <c r="E864" s="895">
        <v>9653</v>
      </c>
      <c r="F864" s="1249"/>
    </row>
    <row r="865" spans="3:6" hidden="1">
      <c r="C865" s="891">
        <v>41326</v>
      </c>
      <c r="D865" s="361">
        <v>102.95</v>
      </c>
      <c r="E865" s="895">
        <v>9653</v>
      </c>
      <c r="F865" s="1249"/>
    </row>
    <row r="866" spans="3:6" hidden="1">
      <c r="C866" s="891">
        <v>41327</v>
      </c>
      <c r="D866" s="361">
        <v>102.95</v>
      </c>
      <c r="E866" s="895">
        <v>9653</v>
      </c>
      <c r="F866" s="1249"/>
    </row>
    <row r="867" spans="3:6" hidden="1">
      <c r="C867" s="891">
        <v>41328</v>
      </c>
      <c r="D867" s="361">
        <v>102.95</v>
      </c>
      <c r="E867" s="895">
        <v>9653</v>
      </c>
      <c r="F867" s="1249"/>
    </row>
    <row r="868" spans="3:6" hidden="1">
      <c r="C868" s="891">
        <v>41329</v>
      </c>
      <c r="D868" s="361">
        <v>102.95</v>
      </c>
      <c r="E868" s="895">
        <v>9653</v>
      </c>
      <c r="F868" s="1249"/>
    </row>
    <row r="869" spans="3:6" hidden="1">
      <c r="C869" s="891">
        <v>41330</v>
      </c>
      <c r="D869" s="361">
        <v>102.95</v>
      </c>
      <c r="E869" s="895">
        <v>9653</v>
      </c>
      <c r="F869" s="1249"/>
    </row>
    <row r="870" spans="3:6" hidden="1">
      <c r="C870" s="891">
        <v>41331</v>
      </c>
      <c r="D870" s="361">
        <v>102.95</v>
      </c>
      <c r="E870" s="895">
        <v>9653</v>
      </c>
      <c r="F870" s="1249"/>
    </row>
    <row r="871" spans="3:6" hidden="1">
      <c r="C871" s="891">
        <v>41332</v>
      </c>
      <c r="D871" s="361">
        <v>103.81</v>
      </c>
      <c r="E871" s="895">
        <v>9707</v>
      </c>
      <c r="F871" s="1249"/>
    </row>
    <row r="872" spans="3:6" hidden="1">
      <c r="C872" s="891">
        <v>41333</v>
      </c>
      <c r="D872" s="361">
        <v>103.81</v>
      </c>
      <c r="E872" s="895">
        <v>9707</v>
      </c>
      <c r="F872" s="1249"/>
    </row>
    <row r="873" spans="3:6" hidden="1">
      <c r="C873" s="891">
        <v>41334</v>
      </c>
      <c r="D873" s="361">
        <v>103.81</v>
      </c>
      <c r="E873" s="895">
        <v>9707</v>
      </c>
      <c r="F873" s="1249"/>
    </row>
    <row r="874" spans="3:6" hidden="1">
      <c r="C874" s="891">
        <v>41335</v>
      </c>
      <c r="D874" s="361">
        <v>103.81</v>
      </c>
      <c r="E874" s="895">
        <v>9707</v>
      </c>
      <c r="F874" s="1249"/>
    </row>
    <row r="875" spans="3:6" hidden="1">
      <c r="C875" s="891">
        <v>41336</v>
      </c>
      <c r="D875" s="361">
        <v>103.81</v>
      </c>
      <c r="E875" s="895">
        <v>9707</v>
      </c>
      <c r="F875" s="1249"/>
    </row>
    <row r="876" spans="3:6" hidden="1">
      <c r="C876" s="891">
        <v>41337</v>
      </c>
      <c r="D876" s="361">
        <v>103.81</v>
      </c>
      <c r="E876" s="895">
        <v>9707</v>
      </c>
      <c r="F876" s="1249"/>
    </row>
    <row r="877" spans="3:6" hidden="1">
      <c r="C877" s="891">
        <v>41338</v>
      </c>
      <c r="D877" s="361">
        <v>103.81</v>
      </c>
      <c r="E877" s="895">
        <v>9707</v>
      </c>
      <c r="F877" s="1249"/>
    </row>
    <row r="878" spans="3:6" hidden="1">
      <c r="C878" s="891">
        <v>41339</v>
      </c>
      <c r="D878" s="361">
        <v>104.68</v>
      </c>
      <c r="E878" s="895">
        <v>9690</v>
      </c>
      <c r="F878" s="1249"/>
    </row>
    <row r="879" spans="3:6" hidden="1">
      <c r="C879" s="891">
        <v>41340</v>
      </c>
      <c r="D879" s="361">
        <v>104.68</v>
      </c>
      <c r="E879" s="895">
        <v>9690</v>
      </c>
      <c r="F879" s="1249"/>
    </row>
    <row r="880" spans="3:6" hidden="1">
      <c r="C880" s="891">
        <v>41341</v>
      </c>
      <c r="D880" s="361">
        <v>104.68</v>
      </c>
      <c r="E880" s="895">
        <v>9690</v>
      </c>
      <c r="F880" s="1249"/>
    </row>
    <row r="881" spans="3:6" hidden="1">
      <c r="C881" s="891">
        <v>41342</v>
      </c>
      <c r="D881" s="361">
        <v>104.68</v>
      </c>
      <c r="E881" s="895">
        <v>9690</v>
      </c>
      <c r="F881" s="1249"/>
    </row>
    <row r="882" spans="3:6" hidden="1">
      <c r="C882" s="891">
        <v>41343</v>
      </c>
      <c r="D882" s="361">
        <v>104.68</v>
      </c>
      <c r="E882" s="895">
        <v>9690</v>
      </c>
      <c r="F882" s="1249"/>
    </row>
    <row r="883" spans="3:6" hidden="1">
      <c r="C883" s="891">
        <v>41344</v>
      </c>
      <c r="D883" s="361">
        <v>104.68</v>
      </c>
      <c r="E883" s="895">
        <v>9690</v>
      </c>
      <c r="F883" s="1249"/>
    </row>
    <row r="884" spans="3:6" hidden="1">
      <c r="C884" s="891">
        <v>41345</v>
      </c>
      <c r="D884" s="361">
        <v>104.68</v>
      </c>
      <c r="E884" s="895">
        <v>9690</v>
      </c>
      <c r="F884" s="1249"/>
    </row>
    <row r="885" spans="3:6" hidden="1">
      <c r="C885" s="891">
        <v>41346</v>
      </c>
      <c r="D885" s="361">
        <v>102.16</v>
      </c>
      <c r="E885" s="895">
        <v>9692</v>
      </c>
      <c r="F885" s="1249"/>
    </row>
    <row r="886" spans="3:6" hidden="1">
      <c r="C886" s="891">
        <v>41347</v>
      </c>
      <c r="D886" s="361">
        <v>102.16</v>
      </c>
      <c r="E886" s="895">
        <v>9692</v>
      </c>
      <c r="F886" s="1249"/>
    </row>
    <row r="887" spans="3:6" hidden="1">
      <c r="C887" s="891">
        <v>41348</v>
      </c>
      <c r="D887" s="361">
        <v>102.16</v>
      </c>
      <c r="E887" s="895">
        <v>9692</v>
      </c>
      <c r="F887" s="1249"/>
    </row>
    <row r="888" spans="3:6" hidden="1">
      <c r="C888" s="891">
        <v>41349</v>
      </c>
      <c r="D888" s="361">
        <v>102.16</v>
      </c>
      <c r="E888" s="895">
        <v>9692</v>
      </c>
      <c r="F888" s="1249"/>
    </row>
    <row r="889" spans="3:6" hidden="1">
      <c r="C889" s="891">
        <v>41350</v>
      </c>
      <c r="D889" s="361">
        <v>102.16</v>
      </c>
      <c r="E889" s="895">
        <v>9692</v>
      </c>
      <c r="F889" s="1249"/>
    </row>
    <row r="890" spans="3:6" hidden="1">
      <c r="C890" s="891">
        <v>41351</v>
      </c>
      <c r="D890" s="361">
        <v>102.16</v>
      </c>
      <c r="E890" s="895">
        <v>9692</v>
      </c>
      <c r="F890" s="1249"/>
    </row>
    <row r="891" spans="3:6" hidden="1">
      <c r="C891" s="891">
        <v>41352</v>
      </c>
      <c r="D891" s="361">
        <v>102.16</v>
      </c>
      <c r="E891" s="895">
        <v>9692</v>
      </c>
      <c r="F891" s="1249"/>
    </row>
    <row r="892" spans="3:6" hidden="1">
      <c r="C892" s="891">
        <v>41353</v>
      </c>
      <c r="D892" s="361">
        <v>101.44</v>
      </c>
      <c r="E892" s="895">
        <v>9703</v>
      </c>
      <c r="F892" s="1249"/>
    </row>
    <row r="893" spans="3:6" hidden="1">
      <c r="C893" s="891">
        <v>41354</v>
      </c>
      <c r="D893" s="361">
        <v>101.44</v>
      </c>
      <c r="E893" s="895">
        <v>9703</v>
      </c>
      <c r="F893" s="1249"/>
    </row>
    <row r="894" spans="3:6" hidden="1">
      <c r="C894" s="891">
        <v>41355</v>
      </c>
      <c r="D894" s="361">
        <v>101.44</v>
      </c>
      <c r="E894" s="895">
        <v>9703</v>
      </c>
      <c r="F894" s="1249"/>
    </row>
    <row r="895" spans="3:6" hidden="1">
      <c r="C895" s="891">
        <v>41356</v>
      </c>
      <c r="D895" s="361">
        <v>101.44</v>
      </c>
      <c r="E895" s="895">
        <v>9703</v>
      </c>
      <c r="F895" s="1249"/>
    </row>
    <row r="896" spans="3:6" hidden="1">
      <c r="C896" s="891">
        <v>41357</v>
      </c>
      <c r="D896" s="361">
        <v>101.44</v>
      </c>
      <c r="E896" s="895">
        <v>9703</v>
      </c>
      <c r="F896" s="1249"/>
    </row>
    <row r="897" spans="3:6" hidden="1">
      <c r="C897" s="891">
        <v>41358</v>
      </c>
      <c r="D897" s="361">
        <v>101.44</v>
      </c>
      <c r="E897" s="895">
        <v>9703</v>
      </c>
      <c r="F897" s="1249"/>
    </row>
    <row r="898" spans="3:6" hidden="1">
      <c r="C898" s="891">
        <v>41359</v>
      </c>
      <c r="D898" s="361">
        <v>101.44</v>
      </c>
      <c r="E898" s="895">
        <v>9703</v>
      </c>
      <c r="F898" s="1249"/>
    </row>
    <row r="899" spans="3:6" hidden="1">
      <c r="C899" s="891">
        <v>41360</v>
      </c>
      <c r="D899" s="361">
        <v>102.9</v>
      </c>
      <c r="E899" s="895">
        <v>9748</v>
      </c>
      <c r="F899" s="1249"/>
    </row>
    <row r="900" spans="3:6" hidden="1">
      <c r="C900" s="891">
        <v>41361</v>
      </c>
      <c r="D900" s="361">
        <v>102.9</v>
      </c>
      <c r="E900" s="895">
        <v>9748</v>
      </c>
      <c r="F900" s="1249"/>
    </row>
    <row r="901" spans="3:6" hidden="1">
      <c r="C901" s="891">
        <v>41362</v>
      </c>
      <c r="D901" s="361">
        <v>102.9</v>
      </c>
      <c r="E901" s="895">
        <v>9748</v>
      </c>
      <c r="F901" s="1249"/>
    </row>
    <row r="902" spans="3:6" hidden="1">
      <c r="C902" s="891">
        <v>41363</v>
      </c>
      <c r="D902" s="361">
        <v>102.9</v>
      </c>
      <c r="E902" s="895">
        <v>9748</v>
      </c>
      <c r="F902" s="1249"/>
    </row>
    <row r="903" spans="3:6" hidden="1">
      <c r="C903" s="891">
        <v>41364</v>
      </c>
      <c r="D903" s="361">
        <v>102.9</v>
      </c>
      <c r="E903" s="895">
        <v>9748</v>
      </c>
      <c r="F903" s="1249"/>
    </row>
    <row r="904" spans="3:6" hidden="1">
      <c r="C904" s="891">
        <v>41365</v>
      </c>
      <c r="D904" s="361">
        <v>102.9</v>
      </c>
      <c r="E904" s="895">
        <v>9748</v>
      </c>
      <c r="F904" s="1249"/>
    </row>
    <row r="905" spans="3:6" hidden="1">
      <c r="C905" s="891">
        <v>41366</v>
      </c>
      <c r="D905" s="361">
        <v>102.9</v>
      </c>
      <c r="E905" s="895">
        <v>9748</v>
      </c>
      <c r="F905" s="1249"/>
    </row>
    <row r="906" spans="3:6" hidden="1">
      <c r="C906" s="891">
        <v>41367</v>
      </c>
      <c r="D906" s="361">
        <v>103.76</v>
      </c>
      <c r="E906" s="895">
        <v>9736</v>
      </c>
      <c r="F906" s="1249"/>
    </row>
    <row r="907" spans="3:6" hidden="1">
      <c r="C907" s="891">
        <v>41368</v>
      </c>
      <c r="D907" s="361">
        <v>103.76</v>
      </c>
      <c r="E907" s="895">
        <v>9736</v>
      </c>
      <c r="F907" s="1249"/>
    </row>
    <row r="908" spans="3:6" hidden="1">
      <c r="C908" s="891">
        <v>41369</v>
      </c>
      <c r="D908" s="361">
        <v>103.76</v>
      </c>
      <c r="E908" s="895">
        <v>9736</v>
      </c>
      <c r="F908" s="1249"/>
    </row>
    <row r="909" spans="3:6" hidden="1">
      <c r="C909" s="891">
        <v>41370</v>
      </c>
      <c r="D909" s="361">
        <v>103.76</v>
      </c>
      <c r="E909" s="895">
        <v>9736</v>
      </c>
      <c r="F909" s="1249"/>
    </row>
    <row r="910" spans="3:6" hidden="1">
      <c r="C910" s="891">
        <v>41371</v>
      </c>
      <c r="D910" s="361">
        <v>103.76</v>
      </c>
      <c r="E910" s="895">
        <v>9736</v>
      </c>
      <c r="F910" s="1249"/>
    </row>
    <row r="911" spans="3:6" hidden="1">
      <c r="C911" s="891">
        <v>41372</v>
      </c>
      <c r="D911" s="361">
        <v>103.76</v>
      </c>
      <c r="E911" s="895">
        <v>9736</v>
      </c>
      <c r="F911" s="1249"/>
    </row>
    <row r="912" spans="3:6" hidden="1">
      <c r="C912" s="891">
        <v>41373</v>
      </c>
      <c r="D912" s="361">
        <v>103.76</v>
      </c>
      <c r="E912" s="895">
        <v>9736</v>
      </c>
      <c r="F912" s="1249"/>
    </row>
    <row r="913" spans="3:6" hidden="1">
      <c r="C913" s="891">
        <v>41374</v>
      </c>
      <c r="D913" s="361">
        <v>101.82</v>
      </c>
      <c r="E913" s="895">
        <v>9749</v>
      </c>
      <c r="F913" s="1249"/>
    </row>
    <row r="914" spans="3:6" hidden="1">
      <c r="C914" s="891">
        <v>41375</v>
      </c>
      <c r="D914" s="361">
        <v>101.82</v>
      </c>
      <c r="E914" s="895">
        <v>9749</v>
      </c>
      <c r="F914" s="1249"/>
    </row>
    <row r="915" spans="3:6" hidden="1">
      <c r="C915" s="891">
        <v>41376</v>
      </c>
      <c r="D915" s="361">
        <v>101.82</v>
      </c>
      <c r="E915" s="895">
        <v>9749</v>
      </c>
      <c r="F915" s="1249"/>
    </row>
    <row r="916" spans="3:6" hidden="1">
      <c r="C916" s="891">
        <v>41377</v>
      </c>
      <c r="D916" s="361">
        <v>101.82</v>
      </c>
      <c r="E916" s="895">
        <v>9749</v>
      </c>
      <c r="F916" s="1249"/>
    </row>
    <row r="917" spans="3:6" hidden="1">
      <c r="C917" s="891">
        <v>41378</v>
      </c>
      <c r="D917" s="361">
        <v>101.82</v>
      </c>
      <c r="E917" s="895">
        <v>9749</v>
      </c>
      <c r="F917" s="1249"/>
    </row>
    <row r="918" spans="3:6" hidden="1">
      <c r="C918" s="891">
        <v>41379</v>
      </c>
      <c r="D918" s="361">
        <v>101.82</v>
      </c>
      <c r="E918" s="895">
        <v>9749</v>
      </c>
      <c r="F918" s="1249"/>
    </row>
    <row r="919" spans="3:6" hidden="1">
      <c r="C919" s="891">
        <v>41380</v>
      </c>
      <c r="D919" s="361">
        <v>101.82</v>
      </c>
      <c r="E919" s="895">
        <v>9749</v>
      </c>
      <c r="F919" s="1249"/>
    </row>
    <row r="920" spans="3:6" hidden="1">
      <c r="C920" s="891">
        <v>41381</v>
      </c>
      <c r="D920" s="361">
        <v>98.05</v>
      </c>
      <c r="E920" s="895">
        <v>9708</v>
      </c>
      <c r="F920" s="1249"/>
    </row>
    <row r="921" spans="3:6" hidden="1">
      <c r="C921" s="891">
        <v>41382</v>
      </c>
      <c r="D921" s="361">
        <v>98.05</v>
      </c>
      <c r="E921" s="895">
        <v>9708</v>
      </c>
      <c r="F921" s="1249"/>
    </row>
    <row r="922" spans="3:6" hidden="1">
      <c r="C922" s="891">
        <v>41383</v>
      </c>
      <c r="D922" s="361">
        <v>98.05</v>
      </c>
      <c r="E922" s="895">
        <v>9708</v>
      </c>
      <c r="F922" s="1249"/>
    </row>
    <row r="923" spans="3:6" hidden="1">
      <c r="C923" s="891">
        <v>41384</v>
      </c>
      <c r="D923" s="361">
        <v>98.05</v>
      </c>
      <c r="E923" s="895">
        <v>9708</v>
      </c>
      <c r="F923" s="1249"/>
    </row>
    <row r="924" spans="3:6" hidden="1">
      <c r="C924" s="891">
        <v>41385</v>
      </c>
      <c r="D924" s="361">
        <v>98.05</v>
      </c>
      <c r="E924" s="895">
        <v>9708</v>
      </c>
      <c r="F924" s="1249"/>
    </row>
    <row r="925" spans="3:6" hidden="1">
      <c r="C925" s="891">
        <v>41386</v>
      </c>
      <c r="D925" s="361">
        <v>98.05</v>
      </c>
      <c r="E925" s="895">
        <v>9708</v>
      </c>
      <c r="F925" s="1249"/>
    </row>
    <row r="926" spans="3:6" hidden="1">
      <c r="C926" s="891">
        <v>41387</v>
      </c>
      <c r="D926" s="361">
        <v>98.05</v>
      </c>
      <c r="E926" s="895">
        <v>9708</v>
      </c>
      <c r="F926" s="1249"/>
    </row>
    <row r="927" spans="3:6" hidden="1">
      <c r="C927" s="891">
        <v>41388</v>
      </c>
      <c r="D927" s="361">
        <v>98.47</v>
      </c>
      <c r="E927" s="895">
        <v>9713</v>
      </c>
      <c r="F927" s="1249"/>
    </row>
    <row r="928" spans="3:6" hidden="1">
      <c r="C928" s="891">
        <v>41389</v>
      </c>
      <c r="D928" s="361">
        <v>98.47</v>
      </c>
      <c r="E928" s="895">
        <v>9713</v>
      </c>
      <c r="F928" s="1249"/>
    </row>
    <row r="929" spans="3:6" hidden="1">
      <c r="C929" s="891">
        <v>41390</v>
      </c>
      <c r="D929" s="361">
        <v>98.47</v>
      </c>
      <c r="E929" s="895">
        <v>9713</v>
      </c>
      <c r="F929" s="1249"/>
    </row>
    <row r="930" spans="3:6" hidden="1">
      <c r="C930" s="891">
        <v>41391</v>
      </c>
      <c r="D930" s="361">
        <v>98.47</v>
      </c>
      <c r="E930" s="895">
        <v>9713</v>
      </c>
      <c r="F930" s="1249"/>
    </row>
    <row r="931" spans="3:6" hidden="1">
      <c r="C931" s="891">
        <v>41392</v>
      </c>
      <c r="D931" s="361">
        <v>98.47</v>
      </c>
      <c r="E931" s="895">
        <v>9713</v>
      </c>
      <c r="F931" s="1249"/>
    </row>
    <row r="932" spans="3:6" hidden="1">
      <c r="C932" s="891">
        <v>41393</v>
      </c>
      <c r="D932" s="361">
        <v>98.47</v>
      </c>
      <c r="E932" s="895">
        <v>9713</v>
      </c>
      <c r="F932" s="1249"/>
    </row>
    <row r="933" spans="3:6" hidden="1">
      <c r="C933" s="891">
        <v>41394</v>
      </c>
      <c r="D933" s="361">
        <v>98.47</v>
      </c>
      <c r="E933" s="895">
        <v>9713</v>
      </c>
      <c r="F933" s="1249"/>
    </row>
    <row r="934" spans="3:6" hidden="1">
      <c r="C934" s="891">
        <v>41395</v>
      </c>
      <c r="D934" s="361">
        <v>98.43</v>
      </c>
      <c r="E934" s="895">
        <v>9723</v>
      </c>
      <c r="F934" s="1249"/>
    </row>
    <row r="935" spans="3:6" hidden="1">
      <c r="C935" s="891">
        <v>41396</v>
      </c>
      <c r="D935" s="361">
        <v>98.43</v>
      </c>
      <c r="E935" s="895">
        <v>9723</v>
      </c>
      <c r="F935" s="1249"/>
    </row>
    <row r="936" spans="3:6" hidden="1">
      <c r="C936" s="891">
        <v>41397</v>
      </c>
      <c r="D936" s="361">
        <v>98.43</v>
      </c>
      <c r="E936" s="895">
        <v>9723</v>
      </c>
      <c r="F936" s="1249"/>
    </row>
    <row r="937" spans="3:6" hidden="1">
      <c r="C937" s="891">
        <v>41398</v>
      </c>
      <c r="D937" s="361">
        <v>98.43</v>
      </c>
      <c r="E937" s="895">
        <v>9723</v>
      </c>
      <c r="F937" s="1249"/>
    </row>
    <row r="938" spans="3:6" hidden="1">
      <c r="C938" s="891">
        <v>41399</v>
      </c>
      <c r="D938" s="361">
        <v>98.43</v>
      </c>
      <c r="E938" s="895">
        <v>9723</v>
      </c>
      <c r="F938" s="1249"/>
    </row>
    <row r="939" spans="3:6" hidden="1">
      <c r="C939" s="891">
        <v>41400</v>
      </c>
      <c r="D939" s="361">
        <v>98.43</v>
      </c>
      <c r="E939" s="895">
        <v>9723</v>
      </c>
      <c r="F939" s="1249"/>
    </row>
    <row r="940" spans="3:6" hidden="1">
      <c r="C940" s="891">
        <v>41401</v>
      </c>
      <c r="D940" s="361">
        <v>98.43</v>
      </c>
      <c r="E940" s="895">
        <v>9723</v>
      </c>
      <c r="F940" s="1249"/>
    </row>
    <row r="941" spans="3:6" hidden="1">
      <c r="C941" s="891">
        <v>41402</v>
      </c>
      <c r="D941" s="361">
        <v>99.19</v>
      </c>
      <c r="E941" s="895">
        <v>9732</v>
      </c>
      <c r="F941" s="1249"/>
    </row>
    <row r="942" spans="3:6" hidden="1">
      <c r="C942" s="891">
        <v>41403</v>
      </c>
      <c r="D942" s="361">
        <v>99.19</v>
      </c>
      <c r="E942" s="895">
        <v>9732</v>
      </c>
      <c r="F942" s="1249"/>
    </row>
    <row r="943" spans="3:6" hidden="1">
      <c r="C943" s="891">
        <v>41404</v>
      </c>
      <c r="D943" s="361">
        <v>99.19</v>
      </c>
      <c r="E943" s="895">
        <v>9732</v>
      </c>
      <c r="F943" s="1249"/>
    </row>
    <row r="944" spans="3:6" hidden="1">
      <c r="C944" s="891">
        <v>41405</v>
      </c>
      <c r="D944" s="361">
        <v>99.19</v>
      </c>
      <c r="E944" s="895">
        <v>9732</v>
      </c>
      <c r="F944" s="1249"/>
    </row>
    <row r="945" spans="3:6" hidden="1">
      <c r="C945" s="891">
        <v>41406</v>
      </c>
      <c r="D945" s="361">
        <v>99.19</v>
      </c>
      <c r="E945" s="895">
        <v>9732</v>
      </c>
      <c r="F945" s="1249"/>
    </row>
    <row r="946" spans="3:6" hidden="1">
      <c r="C946" s="891">
        <v>41407</v>
      </c>
      <c r="D946" s="361">
        <v>99.19</v>
      </c>
      <c r="E946" s="895">
        <v>9732</v>
      </c>
      <c r="F946" s="1249"/>
    </row>
    <row r="947" spans="3:6" hidden="1">
      <c r="C947" s="891">
        <v>41408</v>
      </c>
      <c r="D947" s="361">
        <v>99.19</v>
      </c>
      <c r="E947" s="895">
        <v>9732</v>
      </c>
      <c r="F947" s="1249"/>
    </row>
    <row r="948" spans="3:6" hidden="1">
      <c r="C948" s="891">
        <v>41409</v>
      </c>
      <c r="D948" s="361">
        <v>96.9</v>
      </c>
      <c r="E948" s="895">
        <v>9731</v>
      </c>
      <c r="F948" s="1249"/>
    </row>
    <row r="949" spans="3:6" hidden="1">
      <c r="C949" s="891">
        <v>41410</v>
      </c>
      <c r="D949" s="361">
        <v>96.9</v>
      </c>
      <c r="E949" s="895">
        <v>9731</v>
      </c>
      <c r="F949" s="1249"/>
    </row>
    <row r="950" spans="3:6" hidden="1">
      <c r="C950" s="891">
        <v>41411</v>
      </c>
      <c r="D950" s="361">
        <v>96.9</v>
      </c>
      <c r="E950" s="895">
        <v>9731</v>
      </c>
      <c r="F950" s="1249"/>
    </row>
    <row r="951" spans="3:6" hidden="1">
      <c r="C951" s="891">
        <v>41412</v>
      </c>
      <c r="D951" s="361">
        <v>96.9</v>
      </c>
      <c r="E951" s="895">
        <v>9731</v>
      </c>
      <c r="F951" s="1249"/>
    </row>
    <row r="952" spans="3:6" hidden="1">
      <c r="C952" s="891">
        <v>41413</v>
      </c>
      <c r="D952" s="361">
        <v>96.9</v>
      </c>
      <c r="E952" s="895">
        <v>9731</v>
      </c>
      <c r="F952" s="1249"/>
    </row>
    <row r="953" spans="3:6" hidden="1">
      <c r="C953" s="891">
        <v>41414</v>
      </c>
      <c r="D953" s="361">
        <v>96.9</v>
      </c>
      <c r="E953" s="895">
        <v>9731</v>
      </c>
      <c r="F953" s="1249"/>
    </row>
    <row r="954" spans="3:6" hidden="1">
      <c r="C954" s="891">
        <v>41415</v>
      </c>
      <c r="D954" s="361">
        <v>96.9</v>
      </c>
      <c r="E954" s="895">
        <v>9731</v>
      </c>
      <c r="F954" s="1249"/>
    </row>
    <row r="955" spans="3:6" hidden="1">
      <c r="C955" s="891">
        <v>41416</v>
      </c>
      <c r="D955" s="361">
        <v>95.13</v>
      </c>
      <c r="E955" s="895">
        <v>9759</v>
      </c>
      <c r="F955" s="1249"/>
    </row>
    <row r="956" spans="3:6" hidden="1">
      <c r="C956" s="891">
        <v>41417</v>
      </c>
      <c r="D956" s="361">
        <v>95.13</v>
      </c>
      <c r="E956" s="895">
        <v>9759</v>
      </c>
      <c r="F956" s="1249"/>
    </row>
    <row r="957" spans="3:6" hidden="1">
      <c r="C957" s="891">
        <v>41418</v>
      </c>
      <c r="D957" s="361">
        <v>95.13</v>
      </c>
      <c r="E957" s="895">
        <v>9759</v>
      </c>
      <c r="F957" s="1249"/>
    </row>
    <row r="958" spans="3:6" hidden="1">
      <c r="C958" s="891">
        <v>41419</v>
      </c>
      <c r="D958" s="361">
        <v>95.13</v>
      </c>
      <c r="E958" s="895">
        <v>9759</v>
      </c>
      <c r="F958" s="1249"/>
    </row>
    <row r="959" spans="3:6" hidden="1">
      <c r="C959" s="891">
        <v>41420</v>
      </c>
      <c r="D959" s="361">
        <v>95.13</v>
      </c>
      <c r="E959" s="895">
        <v>9759</v>
      </c>
      <c r="F959" s="1249"/>
    </row>
    <row r="960" spans="3:6" hidden="1">
      <c r="C960" s="891">
        <v>41421</v>
      </c>
      <c r="D960" s="361">
        <v>95.13</v>
      </c>
      <c r="E960" s="895">
        <v>9759</v>
      </c>
      <c r="F960" s="1249"/>
    </row>
    <row r="961" spans="3:6" hidden="1">
      <c r="C961" s="891">
        <v>41422</v>
      </c>
      <c r="D961" s="361">
        <v>95.13</v>
      </c>
      <c r="E961" s="895">
        <v>9759</v>
      </c>
      <c r="F961" s="1249"/>
    </row>
    <row r="962" spans="3:6" hidden="1">
      <c r="C962" s="891">
        <v>41423</v>
      </c>
      <c r="D962" s="361">
        <v>95.92</v>
      </c>
      <c r="E962" s="895">
        <v>9782</v>
      </c>
      <c r="F962" s="1249"/>
    </row>
    <row r="963" spans="3:6" hidden="1">
      <c r="C963" s="891">
        <v>41424</v>
      </c>
      <c r="D963" s="361">
        <v>95.92</v>
      </c>
      <c r="E963" s="895">
        <v>9782</v>
      </c>
      <c r="F963" s="1249"/>
    </row>
    <row r="964" spans="3:6" hidden="1">
      <c r="C964" s="891">
        <v>41425</v>
      </c>
      <c r="D964" s="361">
        <v>95.92</v>
      </c>
      <c r="E964" s="895">
        <v>9782</v>
      </c>
      <c r="F964" s="1249"/>
    </row>
    <row r="965" spans="3:6" hidden="1">
      <c r="C965" s="891">
        <v>41426</v>
      </c>
      <c r="D965" s="361">
        <v>95.92</v>
      </c>
      <c r="E965" s="895">
        <v>9782</v>
      </c>
      <c r="F965" s="1249"/>
    </row>
    <row r="966" spans="3:6" hidden="1">
      <c r="C966" s="891">
        <v>41427</v>
      </c>
      <c r="D966" s="361">
        <v>95.92</v>
      </c>
      <c r="E966" s="895">
        <v>9782</v>
      </c>
      <c r="F966" s="1249"/>
    </row>
    <row r="967" spans="3:6" hidden="1">
      <c r="C967" s="891">
        <v>41428</v>
      </c>
      <c r="D967" s="361">
        <v>95.92</v>
      </c>
      <c r="E967" s="895">
        <v>9782</v>
      </c>
      <c r="F967" s="1249"/>
    </row>
    <row r="968" spans="3:6" hidden="1">
      <c r="C968" s="891">
        <v>41429</v>
      </c>
      <c r="D968" s="361">
        <v>95.92</v>
      </c>
      <c r="E968" s="895">
        <v>9782</v>
      </c>
      <c r="F968" s="1249"/>
    </row>
    <row r="969" spans="3:6" hidden="1">
      <c r="C969" s="891">
        <v>41430</v>
      </c>
      <c r="D969" s="361">
        <v>97.3</v>
      </c>
      <c r="E969" s="895">
        <v>9834</v>
      </c>
      <c r="F969" s="1249"/>
    </row>
    <row r="970" spans="3:6" hidden="1">
      <c r="C970" s="891">
        <v>41431</v>
      </c>
      <c r="D970" s="361">
        <v>97.3</v>
      </c>
      <c r="E970" s="895">
        <v>9834</v>
      </c>
      <c r="F970" s="1249"/>
    </row>
    <row r="971" spans="3:6" hidden="1">
      <c r="C971" s="891">
        <v>41432</v>
      </c>
      <c r="D971" s="361">
        <v>97.3</v>
      </c>
      <c r="E971" s="895">
        <v>9834</v>
      </c>
      <c r="F971" s="1249"/>
    </row>
    <row r="972" spans="3:6" hidden="1">
      <c r="C972" s="891">
        <v>41433</v>
      </c>
      <c r="D972" s="361">
        <v>97.3</v>
      </c>
      <c r="E972" s="895">
        <v>9834</v>
      </c>
      <c r="F972" s="1249"/>
    </row>
    <row r="973" spans="3:6" hidden="1">
      <c r="C973" s="891">
        <v>41434</v>
      </c>
      <c r="D973" s="361">
        <v>97.3</v>
      </c>
      <c r="E973" s="895">
        <v>9834</v>
      </c>
      <c r="F973" s="1249"/>
    </row>
    <row r="974" spans="3:6" hidden="1">
      <c r="C974" s="891">
        <v>41435</v>
      </c>
      <c r="D974" s="361">
        <v>97.3</v>
      </c>
      <c r="E974" s="895">
        <v>9834</v>
      </c>
      <c r="F974" s="1249"/>
    </row>
    <row r="975" spans="3:6" hidden="1">
      <c r="C975" s="891">
        <v>41436</v>
      </c>
      <c r="D975" s="361">
        <v>97.3</v>
      </c>
      <c r="E975" s="895">
        <v>9834</v>
      </c>
      <c r="F975" s="1249"/>
    </row>
    <row r="976" spans="3:6" hidden="1">
      <c r="C976" s="891">
        <v>41437</v>
      </c>
      <c r="D976" s="361">
        <v>99.8</v>
      </c>
      <c r="E976" s="895">
        <v>9863</v>
      </c>
      <c r="F976" s="1249"/>
    </row>
    <row r="977" spans="3:6" hidden="1">
      <c r="C977" s="891">
        <v>41438</v>
      </c>
      <c r="D977" s="361">
        <v>99.8</v>
      </c>
      <c r="E977" s="895">
        <v>9863</v>
      </c>
      <c r="F977" s="1249"/>
    </row>
    <row r="978" spans="3:6" hidden="1">
      <c r="C978" s="891">
        <v>41439</v>
      </c>
      <c r="D978" s="361">
        <v>99.8</v>
      </c>
      <c r="E978" s="895">
        <v>9863</v>
      </c>
      <c r="F978" s="1249"/>
    </row>
    <row r="979" spans="3:6" hidden="1">
      <c r="C979" s="891">
        <v>41440</v>
      </c>
      <c r="D979" s="361">
        <v>99.8</v>
      </c>
      <c r="E979" s="895">
        <v>9863</v>
      </c>
      <c r="F979" s="1249"/>
    </row>
    <row r="980" spans="3:6" hidden="1">
      <c r="C980" s="891">
        <v>41441</v>
      </c>
      <c r="D980" s="361">
        <v>99.8</v>
      </c>
      <c r="E980" s="895">
        <v>9863</v>
      </c>
      <c r="F980" s="1249"/>
    </row>
    <row r="981" spans="3:6" hidden="1">
      <c r="C981" s="891">
        <v>41442</v>
      </c>
      <c r="D981" s="361">
        <v>99.8</v>
      </c>
      <c r="E981" s="895">
        <v>9863</v>
      </c>
      <c r="F981" s="1249"/>
    </row>
    <row r="982" spans="3:6" hidden="1">
      <c r="C982" s="891">
        <v>41443</v>
      </c>
      <c r="D982" s="361">
        <v>99.8</v>
      </c>
      <c r="E982" s="895">
        <v>9863</v>
      </c>
      <c r="F982" s="1249"/>
    </row>
    <row r="983" spans="3:6" hidden="1">
      <c r="C983" s="891">
        <v>41444</v>
      </c>
      <c r="D983" s="361">
        <v>103.57</v>
      </c>
      <c r="E983" s="895">
        <v>9867</v>
      </c>
      <c r="F983" s="1249"/>
    </row>
    <row r="984" spans="3:6" hidden="1">
      <c r="C984" s="891">
        <v>41445</v>
      </c>
      <c r="D984" s="361">
        <v>103.57</v>
      </c>
      <c r="E984" s="895">
        <v>9867</v>
      </c>
      <c r="F984" s="1249"/>
    </row>
    <row r="985" spans="3:6" hidden="1">
      <c r="C985" s="891">
        <v>41446</v>
      </c>
      <c r="D985" s="361">
        <v>103.57</v>
      </c>
      <c r="E985" s="895">
        <v>9867</v>
      </c>
      <c r="F985" s="1249"/>
    </row>
    <row r="986" spans="3:6" hidden="1">
      <c r="C986" s="891">
        <v>41447</v>
      </c>
      <c r="D986" s="361">
        <v>103.57</v>
      </c>
      <c r="E986" s="895">
        <v>9867</v>
      </c>
      <c r="F986" s="1249"/>
    </row>
    <row r="987" spans="3:6" hidden="1">
      <c r="C987" s="891">
        <v>41448</v>
      </c>
      <c r="D987" s="361">
        <v>103.57</v>
      </c>
      <c r="E987" s="895">
        <v>9867</v>
      </c>
      <c r="F987" s="1249"/>
    </row>
    <row r="988" spans="3:6" hidden="1">
      <c r="C988" s="891">
        <v>41449</v>
      </c>
      <c r="D988" s="361">
        <v>103.57</v>
      </c>
      <c r="E988" s="895">
        <v>9867</v>
      </c>
      <c r="F988" s="1249"/>
    </row>
    <row r="989" spans="3:6" hidden="1">
      <c r="C989" s="891">
        <v>41450</v>
      </c>
      <c r="D989" s="361">
        <v>103.57</v>
      </c>
      <c r="E989" s="895">
        <v>9867</v>
      </c>
      <c r="F989" s="1249"/>
    </row>
    <row r="990" spans="3:6" hidden="1">
      <c r="C990" s="891">
        <v>41451</v>
      </c>
      <c r="D990" s="361">
        <v>103</v>
      </c>
      <c r="E990" s="895">
        <v>9982</v>
      </c>
      <c r="F990" s="1249"/>
    </row>
    <row r="991" spans="3:6" hidden="1">
      <c r="C991" s="891">
        <v>41452</v>
      </c>
      <c r="D991" s="361">
        <v>103</v>
      </c>
      <c r="E991" s="895">
        <v>9982</v>
      </c>
      <c r="F991" s="1249"/>
    </row>
    <row r="992" spans="3:6" hidden="1">
      <c r="C992" s="891">
        <v>41453</v>
      </c>
      <c r="D992" s="361">
        <v>103</v>
      </c>
      <c r="E992" s="895">
        <v>9982</v>
      </c>
      <c r="F992" s="1249"/>
    </row>
    <row r="993" spans="3:6" hidden="1">
      <c r="C993" s="891">
        <v>41454</v>
      </c>
      <c r="D993" s="361">
        <v>103</v>
      </c>
      <c r="E993" s="895">
        <v>9982</v>
      </c>
      <c r="F993" s="1249"/>
    </row>
    <row r="994" spans="3:6" hidden="1">
      <c r="C994" s="891">
        <v>41455</v>
      </c>
      <c r="D994" s="361">
        <v>103</v>
      </c>
      <c r="E994" s="895">
        <v>9982</v>
      </c>
      <c r="F994" s="1249"/>
    </row>
    <row r="995" spans="3:6" hidden="1">
      <c r="C995" s="891">
        <v>41456</v>
      </c>
      <c r="D995" s="361">
        <v>103</v>
      </c>
      <c r="E995" s="895">
        <v>9982</v>
      </c>
      <c r="F995" s="1249"/>
    </row>
    <row r="996" spans="3:6" hidden="1">
      <c r="C996" s="891">
        <v>41457</v>
      </c>
      <c r="D996" s="361">
        <v>103</v>
      </c>
      <c r="E996" s="895">
        <v>9982</v>
      </c>
      <c r="F996" s="1249"/>
    </row>
    <row r="997" spans="3:6" hidden="1">
      <c r="C997" s="891">
        <v>41458</v>
      </c>
      <c r="D997" s="361">
        <v>101.21</v>
      </c>
      <c r="E997" s="895">
        <v>9959</v>
      </c>
      <c r="F997" s="1249"/>
    </row>
    <row r="998" spans="3:6" hidden="1">
      <c r="C998" s="891">
        <v>41459</v>
      </c>
      <c r="D998" s="361">
        <v>101.21</v>
      </c>
      <c r="E998" s="895">
        <v>9959</v>
      </c>
      <c r="F998" s="1249"/>
    </row>
    <row r="999" spans="3:6" hidden="1">
      <c r="C999" s="891">
        <v>41460</v>
      </c>
      <c r="D999" s="361">
        <v>101.21</v>
      </c>
      <c r="E999" s="895">
        <v>9959</v>
      </c>
      <c r="F999" s="1249"/>
    </row>
    <row r="1000" spans="3:6" hidden="1">
      <c r="C1000" s="891">
        <v>41461</v>
      </c>
      <c r="D1000" s="361">
        <v>101.21</v>
      </c>
      <c r="E1000" s="895">
        <v>9959</v>
      </c>
      <c r="F1000" s="1249"/>
    </row>
    <row r="1001" spans="3:6" hidden="1">
      <c r="C1001" s="891">
        <v>41462</v>
      </c>
      <c r="D1001" s="361">
        <v>101.21</v>
      </c>
      <c r="E1001" s="895">
        <v>9959</v>
      </c>
      <c r="F1001" s="1249"/>
    </row>
    <row r="1002" spans="3:6" hidden="1">
      <c r="C1002" s="891">
        <v>41463</v>
      </c>
      <c r="D1002" s="361">
        <v>101.21</v>
      </c>
      <c r="E1002" s="895">
        <v>9959</v>
      </c>
      <c r="F1002" s="1249"/>
    </row>
    <row r="1003" spans="3:6" hidden="1">
      <c r="C1003" s="891">
        <v>41464</v>
      </c>
      <c r="D1003" s="361">
        <v>101.21</v>
      </c>
      <c r="E1003" s="895">
        <v>9959</v>
      </c>
      <c r="F1003" s="1249"/>
    </row>
    <row r="1004" spans="3:6" hidden="1">
      <c r="C1004" s="891">
        <v>41465</v>
      </c>
      <c r="D1004" s="361">
        <v>98.98</v>
      </c>
      <c r="E1004" s="895">
        <v>9962</v>
      </c>
      <c r="F1004" s="1249"/>
    </row>
    <row r="1005" spans="3:6" hidden="1">
      <c r="C1005" s="891">
        <v>41466</v>
      </c>
      <c r="D1005" s="361">
        <v>98.98</v>
      </c>
      <c r="E1005" s="895">
        <v>9962</v>
      </c>
      <c r="F1005" s="1249"/>
    </row>
    <row r="1006" spans="3:6" hidden="1">
      <c r="C1006" s="891">
        <v>41467</v>
      </c>
      <c r="D1006" s="361">
        <v>98.98</v>
      </c>
      <c r="E1006" s="895">
        <v>9962</v>
      </c>
      <c r="F1006" s="1249"/>
    </row>
    <row r="1007" spans="3:6" hidden="1">
      <c r="C1007" s="891">
        <v>41468</v>
      </c>
      <c r="D1007" s="361">
        <v>98.98</v>
      </c>
      <c r="E1007" s="895">
        <v>9962</v>
      </c>
      <c r="F1007" s="1249"/>
    </row>
    <row r="1008" spans="3:6" hidden="1">
      <c r="C1008" s="891">
        <v>41469</v>
      </c>
      <c r="D1008" s="361">
        <v>98.98</v>
      </c>
      <c r="E1008" s="895">
        <v>9962</v>
      </c>
      <c r="F1008" s="1249"/>
    </row>
    <row r="1009" spans="3:6" hidden="1">
      <c r="C1009" s="891">
        <v>41470</v>
      </c>
      <c r="D1009" s="361">
        <v>98.98</v>
      </c>
      <c r="E1009" s="895">
        <v>9962</v>
      </c>
      <c r="F1009" s="1249"/>
    </row>
    <row r="1010" spans="3:6" hidden="1">
      <c r="C1010" s="891">
        <v>41471</v>
      </c>
      <c r="D1010" s="361">
        <v>98.98</v>
      </c>
      <c r="E1010" s="895">
        <v>9962</v>
      </c>
      <c r="F1010" s="1249"/>
    </row>
    <row r="1011" spans="3:6" hidden="1">
      <c r="C1011" s="891">
        <v>41472</v>
      </c>
      <c r="D1011" s="361">
        <v>100.25</v>
      </c>
      <c r="E1011" s="895">
        <v>9991</v>
      </c>
      <c r="F1011" s="1249"/>
    </row>
    <row r="1012" spans="3:6" hidden="1">
      <c r="C1012" s="891">
        <v>41473</v>
      </c>
      <c r="D1012" s="361">
        <v>100.25</v>
      </c>
      <c r="E1012" s="895">
        <v>9991</v>
      </c>
      <c r="F1012" s="1249"/>
    </row>
    <row r="1013" spans="3:6" hidden="1">
      <c r="C1013" s="891">
        <v>41474</v>
      </c>
      <c r="D1013" s="361">
        <v>100.25</v>
      </c>
      <c r="E1013" s="895">
        <v>9991</v>
      </c>
      <c r="F1013" s="1249"/>
    </row>
    <row r="1014" spans="3:6" hidden="1">
      <c r="C1014" s="891">
        <v>41475</v>
      </c>
      <c r="D1014" s="361">
        <v>100.25</v>
      </c>
      <c r="E1014" s="895">
        <v>9991</v>
      </c>
      <c r="F1014" s="1249"/>
    </row>
    <row r="1015" spans="3:6" hidden="1">
      <c r="C1015" s="891">
        <v>41476</v>
      </c>
      <c r="D1015" s="361">
        <v>100.25</v>
      </c>
      <c r="E1015" s="895">
        <v>9991</v>
      </c>
      <c r="F1015" s="1249"/>
    </row>
    <row r="1016" spans="3:6" hidden="1">
      <c r="C1016" s="891">
        <v>41477</v>
      </c>
      <c r="D1016" s="361">
        <v>100.25</v>
      </c>
      <c r="E1016" s="895">
        <v>9991</v>
      </c>
      <c r="F1016" s="1249"/>
    </row>
    <row r="1017" spans="3:6" hidden="1">
      <c r="C1017" s="891">
        <v>41478</v>
      </c>
      <c r="D1017" s="361">
        <v>100.25</v>
      </c>
      <c r="E1017" s="895">
        <v>9991</v>
      </c>
      <c r="F1017" s="1249"/>
    </row>
    <row r="1018" spans="3:6" hidden="1">
      <c r="C1018" s="891">
        <v>41479</v>
      </c>
      <c r="D1018" s="361">
        <v>101.05</v>
      </c>
      <c r="E1018" s="895">
        <v>10101</v>
      </c>
      <c r="F1018" s="1249"/>
    </row>
    <row r="1019" spans="3:6" hidden="1">
      <c r="C1019" s="891">
        <v>41480</v>
      </c>
      <c r="D1019" s="361">
        <v>101.05</v>
      </c>
      <c r="E1019" s="895">
        <v>10101</v>
      </c>
      <c r="F1019" s="1249"/>
    </row>
    <row r="1020" spans="3:6" hidden="1">
      <c r="C1020" s="891">
        <v>41481</v>
      </c>
      <c r="D1020" s="361">
        <v>101.05</v>
      </c>
      <c r="E1020" s="895">
        <v>10101</v>
      </c>
      <c r="F1020" s="1249"/>
    </row>
    <row r="1021" spans="3:6" hidden="1">
      <c r="C1021" s="891">
        <v>41482</v>
      </c>
      <c r="D1021" s="361">
        <v>101.05</v>
      </c>
      <c r="E1021" s="895">
        <v>10101</v>
      </c>
      <c r="F1021" s="1249"/>
    </row>
    <row r="1022" spans="3:6" hidden="1">
      <c r="C1022" s="891">
        <v>41483</v>
      </c>
      <c r="D1022" s="361">
        <v>101.05</v>
      </c>
      <c r="E1022" s="895">
        <v>10101</v>
      </c>
      <c r="F1022" s="1249"/>
    </row>
    <row r="1023" spans="3:6" hidden="1">
      <c r="C1023" s="891">
        <v>41484</v>
      </c>
      <c r="D1023" s="361">
        <v>101.05</v>
      </c>
      <c r="E1023" s="895">
        <v>10101</v>
      </c>
      <c r="F1023" s="1249"/>
    </row>
    <row r="1024" spans="3:6" hidden="1">
      <c r="C1024" s="891">
        <v>41485</v>
      </c>
      <c r="D1024" s="361">
        <v>101.05</v>
      </c>
      <c r="E1024" s="895">
        <v>10101</v>
      </c>
      <c r="F1024" s="1249"/>
    </row>
    <row r="1025" spans="3:6" hidden="1">
      <c r="C1025" s="891">
        <v>41486</v>
      </c>
      <c r="D1025" s="361">
        <v>103.63</v>
      </c>
      <c r="E1025" s="895">
        <v>10270</v>
      </c>
      <c r="F1025" s="1249"/>
    </row>
    <row r="1026" spans="3:6" hidden="1">
      <c r="C1026" s="891">
        <v>41487</v>
      </c>
      <c r="D1026" s="361">
        <v>103.63</v>
      </c>
      <c r="E1026" s="895">
        <v>10270</v>
      </c>
      <c r="F1026" s="1249"/>
    </row>
    <row r="1027" spans="3:6" hidden="1">
      <c r="C1027" s="891">
        <v>41488</v>
      </c>
      <c r="D1027" s="361">
        <v>103.63</v>
      </c>
      <c r="E1027" s="895">
        <v>10270</v>
      </c>
      <c r="F1027" s="1249"/>
    </row>
    <row r="1028" spans="3:6" hidden="1">
      <c r="C1028" s="891">
        <v>41489</v>
      </c>
      <c r="D1028" s="361">
        <v>103.63</v>
      </c>
      <c r="E1028" s="895">
        <v>10270</v>
      </c>
      <c r="F1028" s="1249"/>
    </row>
    <row r="1029" spans="3:6" hidden="1">
      <c r="C1029" s="891">
        <v>41490</v>
      </c>
      <c r="D1029" s="361">
        <v>103.63</v>
      </c>
      <c r="E1029" s="895">
        <v>10270</v>
      </c>
      <c r="F1029" s="1249"/>
    </row>
    <row r="1030" spans="3:6" hidden="1">
      <c r="C1030" s="891">
        <v>41491</v>
      </c>
      <c r="D1030" s="361">
        <v>103.63</v>
      </c>
      <c r="E1030" s="895">
        <v>10270</v>
      </c>
      <c r="F1030" s="1249"/>
    </row>
    <row r="1031" spans="3:6" hidden="1">
      <c r="C1031" s="891">
        <v>41492</v>
      </c>
      <c r="D1031" s="361">
        <v>103.63</v>
      </c>
      <c r="E1031" s="895">
        <v>10270</v>
      </c>
      <c r="F1031" s="1249"/>
    </row>
    <row r="1032" spans="3:6" hidden="1">
      <c r="C1032" s="891">
        <v>41493</v>
      </c>
      <c r="D1032" s="361">
        <v>103.63</v>
      </c>
      <c r="E1032" s="895">
        <v>10270</v>
      </c>
      <c r="F1032" s="1249"/>
    </row>
    <row r="1033" spans="3:6" hidden="1">
      <c r="C1033" s="891">
        <v>41494</v>
      </c>
      <c r="D1033" s="361">
        <v>103.63</v>
      </c>
      <c r="E1033" s="895">
        <v>10270</v>
      </c>
      <c r="F1033" s="1249"/>
    </row>
    <row r="1034" spans="3:6" hidden="1">
      <c r="C1034" s="891">
        <v>41495</v>
      </c>
      <c r="D1034" s="361">
        <v>103.63</v>
      </c>
      <c r="E1034" s="895">
        <v>10270</v>
      </c>
      <c r="F1034" s="1249"/>
    </row>
    <row r="1035" spans="3:6" hidden="1">
      <c r="C1035" s="891">
        <v>41496</v>
      </c>
      <c r="D1035" s="361">
        <v>103.63</v>
      </c>
      <c r="E1035" s="895">
        <v>10270</v>
      </c>
      <c r="F1035" s="1249"/>
    </row>
    <row r="1036" spans="3:6" hidden="1">
      <c r="C1036" s="891">
        <v>41497</v>
      </c>
      <c r="D1036" s="361">
        <v>103.63</v>
      </c>
      <c r="E1036" s="895">
        <v>10270</v>
      </c>
      <c r="F1036" s="1249"/>
    </row>
    <row r="1037" spans="3:6" hidden="1">
      <c r="C1037" s="891">
        <v>41498</v>
      </c>
      <c r="D1037" s="361">
        <v>103.63</v>
      </c>
      <c r="E1037" s="895">
        <v>10270</v>
      </c>
      <c r="F1037" s="1249"/>
    </row>
    <row r="1038" spans="3:6" hidden="1">
      <c r="C1038" s="891">
        <v>41499</v>
      </c>
      <c r="D1038" s="361">
        <v>103.63</v>
      </c>
      <c r="E1038" s="895">
        <v>10270</v>
      </c>
      <c r="F1038" s="1249"/>
    </row>
    <row r="1039" spans="3:6" hidden="1">
      <c r="C1039" s="891">
        <v>41500</v>
      </c>
      <c r="D1039" s="361">
        <v>106.3</v>
      </c>
      <c r="E1039" s="895">
        <v>10301</v>
      </c>
      <c r="F1039" s="1249"/>
    </row>
    <row r="1040" spans="3:6" hidden="1">
      <c r="C1040" s="891">
        <v>41501</v>
      </c>
      <c r="D1040" s="361">
        <v>106.3</v>
      </c>
      <c r="E1040" s="895">
        <v>10301</v>
      </c>
      <c r="F1040" s="1249"/>
    </row>
    <row r="1041" spans="3:6" hidden="1">
      <c r="C1041" s="891">
        <v>41502</v>
      </c>
      <c r="D1041" s="361">
        <v>106.3</v>
      </c>
      <c r="E1041" s="895">
        <v>10301</v>
      </c>
      <c r="F1041" s="1249"/>
    </row>
    <row r="1042" spans="3:6" hidden="1">
      <c r="C1042" s="891">
        <v>41503</v>
      </c>
      <c r="D1042" s="361">
        <v>106.3</v>
      </c>
      <c r="E1042" s="895">
        <v>10301</v>
      </c>
      <c r="F1042" s="1249"/>
    </row>
    <row r="1043" spans="3:6" hidden="1">
      <c r="C1043" s="891">
        <v>41504</v>
      </c>
      <c r="D1043" s="361">
        <v>106.3</v>
      </c>
      <c r="E1043" s="895">
        <v>10301</v>
      </c>
      <c r="F1043" s="1249"/>
    </row>
    <row r="1044" spans="3:6" hidden="1">
      <c r="C1044" s="891">
        <v>41505</v>
      </c>
      <c r="D1044" s="361">
        <v>106.3</v>
      </c>
      <c r="E1044" s="895">
        <v>10301</v>
      </c>
      <c r="F1044" s="1249"/>
    </row>
    <row r="1045" spans="3:6" hidden="1">
      <c r="C1045" s="891">
        <v>41506</v>
      </c>
      <c r="D1045" s="361">
        <v>106.3</v>
      </c>
      <c r="E1045" s="895">
        <v>10301</v>
      </c>
      <c r="F1045" s="1249"/>
    </row>
    <row r="1046" spans="3:6" hidden="1">
      <c r="C1046" s="891">
        <v>41507</v>
      </c>
      <c r="D1046" s="361">
        <v>106.16</v>
      </c>
      <c r="E1046" s="895">
        <v>10387</v>
      </c>
      <c r="F1046" s="1249"/>
    </row>
    <row r="1047" spans="3:6" hidden="1">
      <c r="C1047" s="891">
        <v>41508</v>
      </c>
      <c r="D1047" s="361">
        <v>106.16</v>
      </c>
      <c r="E1047" s="895">
        <v>10387</v>
      </c>
      <c r="F1047" s="1249"/>
    </row>
    <row r="1048" spans="3:6" hidden="1">
      <c r="C1048" s="891">
        <v>41509</v>
      </c>
      <c r="D1048" s="361">
        <v>106.16</v>
      </c>
      <c r="E1048" s="895">
        <v>10387</v>
      </c>
      <c r="F1048" s="1249"/>
    </row>
    <row r="1049" spans="3:6" hidden="1">
      <c r="C1049" s="891">
        <v>41510</v>
      </c>
      <c r="D1049" s="361">
        <v>106.16</v>
      </c>
      <c r="E1049" s="895">
        <v>10387</v>
      </c>
      <c r="F1049" s="1249"/>
    </row>
    <row r="1050" spans="3:6" hidden="1">
      <c r="C1050" s="891">
        <v>41511</v>
      </c>
      <c r="D1050" s="361">
        <v>106.16</v>
      </c>
      <c r="E1050" s="895">
        <v>10387</v>
      </c>
      <c r="F1050" s="1249"/>
    </row>
    <row r="1051" spans="3:6" hidden="1">
      <c r="C1051" s="891">
        <v>41512</v>
      </c>
      <c r="D1051" s="361">
        <v>106.16</v>
      </c>
      <c r="E1051" s="895">
        <v>10387</v>
      </c>
      <c r="F1051" s="1249"/>
    </row>
    <row r="1052" spans="3:6" hidden="1">
      <c r="C1052" s="891">
        <v>41513</v>
      </c>
      <c r="D1052" s="361">
        <v>106.16</v>
      </c>
      <c r="E1052" s="895">
        <v>10387</v>
      </c>
      <c r="F1052" s="1249"/>
    </row>
    <row r="1053" spans="3:6" hidden="1">
      <c r="C1053" s="891">
        <v>41514</v>
      </c>
      <c r="D1053" s="978">
        <v>110.67</v>
      </c>
      <c r="E1053" s="979">
        <v>10863</v>
      </c>
      <c r="F1053" s="1249"/>
    </row>
    <row r="1054" spans="3:6" hidden="1">
      <c r="C1054" s="891">
        <v>41515</v>
      </c>
      <c r="D1054" s="978">
        <v>110.67</v>
      </c>
      <c r="E1054" s="979">
        <v>10863</v>
      </c>
      <c r="F1054" s="1249"/>
    </row>
    <row r="1055" spans="3:6" hidden="1">
      <c r="C1055" s="891">
        <v>41516</v>
      </c>
      <c r="D1055" s="978">
        <v>110.67</v>
      </c>
      <c r="E1055" s="979">
        <v>10863</v>
      </c>
      <c r="F1055" s="1249"/>
    </row>
    <row r="1056" spans="3:6" hidden="1">
      <c r="C1056" s="891">
        <v>41517</v>
      </c>
      <c r="D1056" s="978">
        <v>110.67</v>
      </c>
      <c r="E1056" s="979">
        <v>10863</v>
      </c>
      <c r="F1056" s="1249"/>
    </row>
    <row r="1057" spans="3:6" hidden="1">
      <c r="C1057" s="891">
        <v>41518</v>
      </c>
      <c r="D1057" s="978">
        <v>110.67</v>
      </c>
      <c r="E1057" s="979">
        <v>10863</v>
      </c>
      <c r="F1057" s="1249"/>
    </row>
    <row r="1058" spans="3:6" hidden="1">
      <c r="C1058" s="891">
        <v>41519</v>
      </c>
      <c r="D1058" s="978">
        <v>110.67</v>
      </c>
      <c r="E1058" s="979">
        <v>10863</v>
      </c>
      <c r="F1058" s="1249"/>
    </row>
    <row r="1059" spans="3:6" hidden="1">
      <c r="C1059" s="891">
        <v>41520</v>
      </c>
      <c r="D1059" s="978">
        <v>110.67</v>
      </c>
      <c r="E1059" s="979">
        <v>10863</v>
      </c>
      <c r="F1059" s="1249"/>
    </row>
    <row r="1060" spans="3:6" hidden="1">
      <c r="C1060" s="891">
        <v>41521</v>
      </c>
      <c r="D1060" s="978">
        <v>114.3</v>
      </c>
      <c r="E1060" s="895">
        <v>11194</v>
      </c>
      <c r="F1060" s="1249"/>
    </row>
    <row r="1061" spans="3:6" hidden="1">
      <c r="C1061" s="891">
        <v>41522</v>
      </c>
      <c r="D1061" s="978">
        <v>114.3</v>
      </c>
      <c r="E1061" s="895">
        <v>11194</v>
      </c>
      <c r="F1061" s="1249"/>
    </row>
    <row r="1062" spans="3:6" hidden="1">
      <c r="C1062" s="891">
        <v>41523</v>
      </c>
      <c r="D1062" s="978">
        <v>114.3</v>
      </c>
      <c r="E1062" s="895">
        <v>11194</v>
      </c>
      <c r="F1062" s="1249"/>
    </row>
    <row r="1063" spans="3:6" hidden="1">
      <c r="C1063" s="891">
        <v>41524</v>
      </c>
      <c r="D1063" s="978">
        <v>114.3</v>
      </c>
      <c r="E1063" s="895">
        <v>11194</v>
      </c>
      <c r="F1063" s="1249"/>
    </row>
    <row r="1064" spans="3:6" hidden="1">
      <c r="C1064" s="891">
        <v>41525</v>
      </c>
      <c r="D1064" s="978">
        <v>114.3</v>
      </c>
      <c r="E1064" s="895">
        <v>11194</v>
      </c>
      <c r="F1064" s="1249"/>
    </row>
    <row r="1065" spans="3:6" hidden="1">
      <c r="C1065" s="891">
        <v>41526</v>
      </c>
      <c r="D1065" s="978">
        <v>114.3</v>
      </c>
      <c r="E1065" s="895">
        <v>11194</v>
      </c>
      <c r="F1065" s="1249"/>
    </row>
    <row r="1066" spans="3:6" hidden="1">
      <c r="C1066" s="891">
        <v>41527</v>
      </c>
      <c r="D1066" s="978">
        <v>114.3</v>
      </c>
      <c r="E1066" s="895">
        <v>11194</v>
      </c>
      <c r="F1066" s="1249"/>
    </row>
    <row r="1067" spans="3:6" hidden="1">
      <c r="C1067" s="891">
        <v>41528</v>
      </c>
      <c r="D1067" s="978">
        <v>114.96</v>
      </c>
      <c r="E1067" s="895">
        <v>11455</v>
      </c>
      <c r="F1067" s="1249"/>
    </row>
    <row r="1068" spans="3:6" hidden="1">
      <c r="C1068" s="891">
        <v>41529</v>
      </c>
      <c r="D1068" s="978">
        <v>114.96</v>
      </c>
      <c r="E1068" s="895">
        <v>11455</v>
      </c>
      <c r="F1068" s="1249"/>
    </row>
    <row r="1069" spans="3:6" hidden="1">
      <c r="C1069" s="891">
        <v>41530</v>
      </c>
      <c r="D1069" s="978">
        <v>114.96</v>
      </c>
      <c r="E1069" s="895">
        <v>11455</v>
      </c>
      <c r="F1069" s="1249"/>
    </row>
    <row r="1070" spans="3:6" hidden="1">
      <c r="C1070" s="891">
        <v>41531</v>
      </c>
      <c r="D1070" s="978">
        <v>114.96</v>
      </c>
      <c r="E1070" s="895">
        <v>11455</v>
      </c>
      <c r="F1070" s="1249"/>
    </row>
    <row r="1071" spans="3:6" hidden="1">
      <c r="C1071" s="891">
        <v>41532</v>
      </c>
      <c r="D1071" s="978">
        <v>114.96</v>
      </c>
      <c r="E1071" s="895">
        <v>11455</v>
      </c>
      <c r="F1071" s="1249"/>
    </row>
    <row r="1072" spans="3:6" hidden="1">
      <c r="C1072" s="891">
        <v>41533</v>
      </c>
      <c r="D1072" s="978">
        <v>114.96</v>
      </c>
      <c r="E1072" s="895">
        <v>11455</v>
      </c>
      <c r="F1072" s="1249"/>
    </row>
    <row r="1073" spans="3:6" hidden="1">
      <c r="C1073" s="891">
        <v>41534</v>
      </c>
      <c r="D1073" s="978">
        <v>114.96</v>
      </c>
      <c r="E1073" s="895">
        <v>11455</v>
      </c>
      <c r="F1073" s="1249"/>
    </row>
    <row r="1074" spans="3:6" hidden="1">
      <c r="C1074" s="891">
        <v>41535</v>
      </c>
      <c r="D1074" s="978">
        <v>113.62</v>
      </c>
      <c r="E1074" s="895">
        <v>11319</v>
      </c>
      <c r="F1074" s="1249"/>
    </row>
    <row r="1075" spans="3:6" hidden="1">
      <c r="C1075" s="891">
        <v>41536</v>
      </c>
      <c r="D1075" s="978">
        <v>113.62</v>
      </c>
      <c r="E1075" s="895">
        <v>11319</v>
      </c>
      <c r="F1075" s="1249"/>
    </row>
    <row r="1076" spans="3:6" hidden="1">
      <c r="C1076" s="891">
        <v>41537</v>
      </c>
      <c r="D1076" s="978">
        <v>113.62</v>
      </c>
      <c r="E1076" s="895">
        <v>11319</v>
      </c>
      <c r="F1076" s="1249"/>
    </row>
    <row r="1077" spans="3:6" hidden="1">
      <c r="C1077" s="891">
        <v>41538</v>
      </c>
      <c r="D1077" s="978">
        <v>113.62</v>
      </c>
      <c r="E1077" s="895">
        <v>11319</v>
      </c>
      <c r="F1077" s="1249"/>
    </row>
    <row r="1078" spans="3:6" hidden="1">
      <c r="C1078" s="891">
        <v>41539</v>
      </c>
      <c r="D1078" s="978">
        <v>113.62</v>
      </c>
      <c r="E1078" s="895">
        <v>11319</v>
      </c>
      <c r="F1078" s="1249"/>
    </row>
    <row r="1079" spans="3:6" hidden="1">
      <c r="C1079" s="891">
        <v>41540</v>
      </c>
      <c r="D1079" s="978">
        <v>113.62</v>
      </c>
      <c r="E1079" s="895">
        <v>11319</v>
      </c>
      <c r="F1079" s="1249"/>
    </row>
    <row r="1080" spans="3:6" hidden="1">
      <c r="C1080" s="891">
        <v>41541</v>
      </c>
      <c r="D1080" s="978">
        <v>113.62</v>
      </c>
      <c r="E1080" s="895">
        <v>11319</v>
      </c>
      <c r="F1080" s="1249"/>
    </row>
    <row r="1081" spans="3:6" hidden="1">
      <c r="C1081" s="891">
        <v>41542</v>
      </c>
      <c r="D1081" s="978">
        <v>112.35</v>
      </c>
      <c r="E1081" s="895">
        <v>11132</v>
      </c>
      <c r="F1081" s="1249"/>
    </row>
    <row r="1082" spans="3:6" hidden="1">
      <c r="C1082" s="891">
        <v>41543</v>
      </c>
      <c r="D1082" s="978">
        <v>112.35</v>
      </c>
      <c r="E1082" s="895">
        <v>11132</v>
      </c>
      <c r="F1082" s="1249"/>
    </row>
    <row r="1083" spans="3:6" hidden="1">
      <c r="C1083" s="891">
        <v>41544</v>
      </c>
      <c r="D1083" s="978">
        <v>112.35</v>
      </c>
      <c r="E1083" s="895">
        <v>11132</v>
      </c>
      <c r="F1083" s="1249"/>
    </row>
    <row r="1084" spans="3:6" hidden="1">
      <c r="C1084" s="891">
        <v>41545</v>
      </c>
      <c r="D1084" s="978">
        <v>112.35</v>
      </c>
      <c r="E1084" s="895">
        <v>11132</v>
      </c>
      <c r="F1084" s="1249"/>
    </row>
    <row r="1085" spans="3:6" hidden="1">
      <c r="C1085" s="891">
        <v>41546</v>
      </c>
      <c r="D1085" s="978">
        <v>112.35</v>
      </c>
      <c r="E1085" s="895">
        <v>11132</v>
      </c>
      <c r="F1085" s="1249"/>
    </row>
    <row r="1086" spans="3:6" hidden="1">
      <c r="C1086" s="891">
        <v>41547</v>
      </c>
      <c r="D1086" s="978">
        <v>112.35</v>
      </c>
      <c r="E1086" s="895">
        <v>11132</v>
      </c>
      <c r="F1086" s="1249"/>
    </row>
    <row r="1087" spans="3:6" hidden="1">
      <c r="C1087" s="891">
        <v>41548</v>
      </c>
      <c r="D1087" s="978">
        <v>112.35</v>
      </c>
      <c r="E1087" s="895">
        <v>11132</v>
      </c>
      <c r="F1087" s="1249"/>
    </row>
    <row r="1088" spans="3:6" hidden="1">
      <c r="C1088" s="891">
        <v>41549</v>
      </c>
      <c r="D1088" s="361">
        <v>115.47</v>
      </c>
      <c r="E1088" s="895">
        <v>11378</v>
      </c>
      <c r="F1088" s="1249"/>
    </row>
    <row r="1089" spans="3:6" hidden="1">
      <c r="C1089" s="891">
        <v>41550</v>
      </c>
      <c r="D1089" s="361">
        <v>115.47</v>
      </c>
      <c r="E1089" s="895">
        <v>11378</v>
      </c>
      <c r="F1089" s="1249"/>
    </row>
    <row r="1090" spans="3:6" hidden="1">
      <c r="C1090" s="891">
        <v>41551</v>
      </c>
      <c r="D1090" s="361">
        <v>115.47</v>
      </c>
      <c r="E1090" s="895">
        <v>11378</v>
      </c>
      <c r="F1090" s="1249"/>
    </row>
    <row r="1091" spans="3:6" hidden="1">
      <c r="C1091" s="891">
        <v>41552</v>
      </c>
      <c r="D1091" s="361">
        <v>115.47</v>
      </c>
      <c r="E1091" s="895">
        <v>11378</v>
      </c>
      <c r="F1091" s="1249"/>
    </row>
    <row r="1092" spans="3:6" hidden="1">
      <c r="C1092" s="891">
        <v>41553</v>
      </c>
      <c r="D1092" s="361">
        <v>115.47</v>
      </c>
      <c r="E1092" s="895">
        <v>11378</v>
      </c>
      <c r="F1092" s="1249"/>
    </row>
    <row r="1093" spans="3:6" hidden="1">
      <c r="C1093" s="891">
        <v>41554</v>
      </c>
      <c r="D1093" s="361">
        <v>115.47</v>
      </c>
      <c r="E1093" s="895">
        <v>11378</v>
      </c>
      <c r="F1093" s="1249"/>
    </row>
    <row r="1094" spans="3:6" hidden="1">
      <c r="C1094" s="891">
        <v>41555</v>
      </c>
      <c r="D1094" s="361">
        <v>115.47</v>
      </c>
      <c r="E1094" s="895">
        <v>11378</v>
      </c>
      <c r="F1094" s="1249"/>
    </row>
    <row r="1095" spans="3:6" hidden="1">
      <c r="C1095" s="891">
        <v>41556</v>
      </c>
      <c r="D1095" s="361">
        <v>116.61</v>
      </c>
      <c r="E1095" s="895">
        <v>11366</v>
      </c>
      <c r="F1095" s="1249"/>
    </row>
    <row r="1096" spans="3:6" hidden="1">
      <c r="C1096" s="891">
        <v>41557</v>
      </c>
      <c r="D1096" s="361">
        <v>116.61</v>
      </c>
      <c r="E1096" s="895">
        <v>11366</v>
      </c>
      <c r="F1096" s="1249"/>
    </row>
    <row r="1097" spans="3:6" hidden="1">
      <c r="C1097" s="891">
        <v>41558</v>
      </c>
      <c r="D1097" s="361">
        <v>116.61</v>
      </c>
      <c r="E1097" s="895">
        <v>11366</v>
      </c>
      <c r="F1097" s="1249"/>
    </row>
    <row r="1098" spans="3:6" hidden="1">
      <c r="C1098" s="891">
        <v>41559</v>
      </c>
      <c r="D1098" s="361">
        <v>116.61</v>
      </c>
      <c r="E1098" s="895">
        <v>11366</v>
      </c>
      <c r="F1098" s="1249"/>
    </row>
    <row r="1099" spans="3:6" hidden="1">
      <c r="C1099" s="891">
        <v>41560</v>
      </c>
      <c r="D1099" s="361">
        <v>116.61</v>
      </c>
      <c r="E1099" s="895">
        <v>11366</v>
      </c>
      <c r="F1099" s="1249"/>
    </row>
    <row r="1100" spans="3:6" hidden="1">
      <c r="C1100" s="891">
        <v>41561</v>
      </c>
      <c r="D1100" s="361">
        <v>116.61</v>
      </c>
      <c r="E1100" s="895">
        <v>11366</v>
      </c>
      <c r="F1100" s="1249"/>
    </row>
    <row r="1101" spans="3:6" hidden="1">
      <c r="C1101" s="891">
        <v>41562</v>
      </c>
      <c r="D1101" s="361">
        <v>116.61</v>
      </c>
      <c r="E1101" s="895">
        <v>11366</v>
      </c>
      <c r="F1101" s="1249"/>
    </row>
    <row r="1102" spans="3:6" hidden="1">
      <c r="C1102" s="891">
        <v>41563</v>
      </c>
      <c r="D1102" s="361">
        <v>116.61</v>
      </c>
      <c r="E1102" s="895">
        <v>11366</v>
      </c>
      <c r="F1102" s="1249"/>
    </row>
    <row r="1103" spans="3:6" hidden="1">
      <c r="C1103" s="891">
        <v>41564</v>
      </c>
      <c r="D1103" s="361">
        <v>116.61</v>
      </c>
      <c r="E1103" s="895">
        <v>11366</v>
      </c>
      <c r="F1103" s="1249"/>
    </row>
    <row r="1104" spans="3:6" hidden="1">
      <c r="C1104" s="891">
        <v>41565</v>
      </c>
      <c r="D1104" s="361">
        <v>116.61</v>
      </c>
      <c r="E1104" s="895">
        <v>11366</v>
      </c>
      <c r="F1104" s="1249"/>
    </row>
    <row r="1105" spans="3:6" hidden="1">
      <c r="C1105" s="891">
        <v>41566</v>
      </c>
      <c r="D1105" s="361">
        <v>116.61</v>
      </c>
      <c r="E1105" s="895">
        <v>11366</v>
      </c>
      <c r="F1105" s="1249"/>
    </row>
    <row r="1106" spans="3:6" hidden="1">
      <c r="C1106" s="891">
        <v>41567</v>
      </c>
      <c r="D1106" s="361">
        <v>116.61</v>
      </c>
      <c r="E1106" s="895">
        <v>11366</v>
      </c>
      <c r="F1106" s="1249"/>
    </row>
    <row r="1107" spans="3:6" hidden="1">
      <c r="C1107" s="891">
        <v>41568</v>
      </c>
      <c r="D1107" s="361">
        <v>116.61</v>
      </c>
      <c r="E1107" s="895">
        <v>11366</v>
      </c>
      <c r="F1107" s="1249"/>
    </row>
    <row r="1108" spans="3:6" hidden="1">
      <c r="C1108" s="891">
        <v>41569</v>
      </c>
      <c r="D1108" s="361">
        <v>116.61</v>
      </c>
      <c r="E1108" s="895">
        <v>11366</v>
      </c>
      <c r="F1108" s="1249"/>
    </row>
    <row r="1109" spans="3:6" hidden="1">
      <c r="C1109" s="891">
        <v>41570</v>
      </c>
      <c r="D1109" s="361">
        <v>113.12</v>
      </c>
      <c r="E1109" s="895">
        <v>11099</v>
      </c>
      <c r="F1109" s="1249"/>
    </row>
    <row r="1110" spans="3:6" hidden="1">
      <c r="C1110" s="891">
        <v>41571</v>
      </c>
      <c r="D1110" s="361">
        <v>113.12</v>
      </c>
      <c r="E1110" s="895">
        <v>11099</v>
      </c>
      <c r="F1110" s="1249"/>
    </row>
    <row r="1111" spans="3:6" hidden="1">
      <c r="C1111" s="891">
        <v>41572</v>
      </c>
      <c r="D1111" s="361">
        <v>113.12</v>
      </c>
      <c r="E1111" s="895">
        <v>11099</v>
      </c>
      <c r="F1111" s="1249"/>
    </row>
    <row r="1112" spans="3:6" hidden="1">
      <c r="C1112" s="891">
        <v>41573</v>
      </c>
      <c r="D1112" s="361">
        <v>113.12</v>
      </c>
      <c r="E1112" s="895">
        <v>11099</v>
      </c>
      <c r="F1112" s="1249"/>
    </row>
    <row r="1113" spans="3:6" hidden="1">
      <c r="C1113" s="891">
        <v>41574</v>
      </c>
      <c r="D1113" s="361">
        <v>113.12</v>
      </c>
      <c r="E1113" s="895">
        <v>11099</v>
      </c>
      <c r="F1113" s="1249"/>
    </row>
    <row r="1114" spans="3:6" hidden="1">
      <c r="C1114" s="891">
        <v>41575</v>
      </c>
      <c r="D1114" s="361">
        <v>113.12</v>
      </c>
      <c r="E1114" s="895">
        <v>11099</v>
      </c>
      <c r="F1114" s="1249"/>
    </row>
    <row r="1115" spans="3:6" hidden="1">
      <c r="C1115" s="891">
        <v>41576</v>
      </c>
      <c r="D1115" s="361">
        <v>113.12</v>
      </c>
      <c r="E1115" s="895">
        <v>11099</v>
      </c>
      <c r="F1115" s="1249"/>
    </row>
    <row r="1116" spans="3:5" hidden="1">
      <c r="C1116" s="891">
        <v>41577</v>
      </c>
      <c r="D1116" s="361">
        <v>113.56</v>
      </c>
      <c r="E1116" s="895">
        <v>11078</v>
      </c>
    </row>
    <row r="1117" spans="3:5" hidden="1">
      <c r="C1117" s="891">
        <v>41578</v>
      </c>
      <c r="D1117" s="361">
        <v>113.56</v>
      </c>
      <c r="E1117" s="895">
        <v>11078</v>
      </c>
    </row>
    <row r="1118" spans="3:5" hidden="1">
      <c r="C1118" s="891">
        <v>41579</v>
      </c>
      <c r="D1118" s="361">
        <v>113.56</v>
      </c>
      <c r="E1118" s="895">
        <v>11078</v>
      </c>
    </row>
    <row r="1119" spans="3:5" hidden="1">
      <c r="C1119" s="891">
        <v>41580</v>
      </c>
      <c r="D1119" s="361">
        <v>113.56</v>
      </c>
      <c r="E1119" s="895">
        <v>11078</v>
      </c>
    </row>
    <row r="1120" spans="3:5" hidden="1">
      <c r="C1120" s="891">
        <v>41581</v>
      </c>
      <c r="D1120" s="361">
        <v>113.56</v>
      </c>
      <c r="E1120" s="895">
        <v>11078</v>
      </c>
    </row>
    <row r="1121" spans="3:5" hidden="1">
      <c r="C1121" s="891">
        <v>41582</v>
      </c>
      <c r="D1121" s="361">
        <v>113.56</v>
      </c>
      <c r="E1121" s="895">
        <v>11078</v>
      </c>
    </row>
    <row r="1122" spans="3:5" hidden="1">
      <c r="C1122" s="891">
        <v>41583</v>
      </c>
      <c r="D1122" s="361">
        <v>113.56</v>
      </c>
      <c r="E1122" s="895">
        <v>11078</v>
      </c>
    </row>
    <row r="1123" spans="3:5" hidden="1">
      <c r="C1123" s="891">
        <v>41584</v>
      </c>
      <c r="D1123" s="361">
        <v>113.38</v>
      </c>
      <c r="E1123" s="895">
        <v>11116</v>
      </c>
    </row>
    <row r="1124" spans="3:6" hidden="1">
      <c r="C1124" s="891">
        <v>41585</v>
      </c>
      <c r="D1124" s="361">
        <v>113.38</v>
      </c>
      <c r="E1124" s="895">
        <v>11116</v>
      </c>
      <c r="F1124" s="1248"/>
    </row>
    <row r="1125" spans="3:6" hidden="1">
      <c r="C1125" s="891">
        <v>41586</v>
      </c>
      <c r="D1125" s="361">
        <v>113.38</v>
      </c>
      <c r="E1125" s="895">
        <v>11116</v>
      </c>
      <c r="F1125" s="1248"/>
    </row>
    <row r="1126" spans="3:6" hidden="1">
      <c r="C1126" s="891">
        <v>41587</v>
      </c>
      <c r="D1126" s="361">
        <v>113.38</v>
      </c>
      <c r="E1126" s="895">
        <v>11116</v>
      </c>
      <c r="F1126" s="1248"/>
    </row>
    <row r="1127" spans="3:6" hidden="1">
      <c r="C1127" s="891">
        <v>41588</v>
      </c>
      <c r="D1127" s="361">
        <v>113.38</v>
      </c>
      <c r="E1127" s="895">
        <v>11116</v>
      </c>
      <c r="F1127" s="1249"/>
    </row>
    <row r="1128" spans="3:6" hidden="1">
      <c r="C1128" s="891">
        <v>41589</v>
      </c>
      <c r="D1128" s="361">
        <v>113.38</v>
      </c>
      <c r="E1128" s="895">
        <v>11116</v>
      </c>
      <c r="F1128" s="1249"/>
    </row>
    <row r="1129" spans="3:6" hidden="1">
      <c r="C1129" s="891">
        <v>41590</v>
      </c>
      <c r="D1129" s="361">
        <v>113.38</v>
      </c>
      <c r="E1129" s="895">
        <v>11116</v>
      </c>
      <c r="F1129" s="1249"/>
    </row>
    <row r="1130" spans="3:6" hidden="1">
      <c r="C1130" s="891">
        <v>41591</v>
      </c>
      <c r="D1130" s="361">
        <v>115.81</v>
      </c>
      <c r="E1130" s="895">
        <v>11427</v>
      </c>
      <c r="F1130" s="1249"/>
    </row>
    <row r="1131" spans="3:6" hidden="1">
      <c r="C1131" s="891">
        <v>41592</v>
      </c>
      <c r="D1131" s="361">
        <v>115.81</v>
      </c>
      <c r="E1131" s="895">
        <v>11427</v>
      </c>
      <c r="F1131" s="1249"/>
    </row>
    <row r="1132" spans="3:6" hidden="1">
      <c r="C1132" s="891">
        <v>41593</v>
      </c>
      <c r="D1132" s="361">
        <v>115.81</v>
      </c>
      <c r="E1132" s="895">
        <v>11427</v>
      </c>
      <c r="F1132" s="1249"/>
    </row>
    <row r="1133" spans="3:6" hidden="1">
      <c r="C1133" s="891">
        <v>41594</v>
      </c>
      <c r="D1133" s="361">
        <v>115.81</v>
      </c>
      <c r="E1133" s="895">
        <v>11427</v>
      </c>
      <c r="F1133" s="1249"/>
    </row>
    <row r="1134" spans="3:6" hidden="1">
      <c r="C1134" s="891">
        <v>41595</v>
      </c>
      <c r="D1134" s="361">
        <v>115.81</v>
      </c>
      <c r="E1134" s="895">
        <v>11427</v>
      </c>
      <c r="F1134" s="1249"/>
    </row>
    <row r="1135" spans="3:6" hidden="1">
      <c r="C1135" s="891">
        <v>41596</v>
      </c>
      <c r="D1135" s="361">
        <v>115.81</v>
      </c>
      <c r="E1135" s="895">
        <v>11427</v>
      </c>
      <c r="F1135" s="1249"/>
    </row>
    <row r="1136" spans="3:6" hidden="1">
      <c r="C1136" s="891">
        <v>41597</v>
      </c>
      <c r="D1136" s="361">
        <v>115.81</v>
      </c>
      <c r="E1136" s="895">
        <v>11427</v>
      </c>
      <c r="F1136" s="1249"/>
    </row>
    <row r="1137" spans="3:8" hidden="1">
      <c r="C1137" s="891">
        <v>41598</v>
      </c>
      <c r="D1137" s="974">
        <v>115.86</v>
      </c>
      <c r="E1137" s="895">
        <v>11569</v>
      </c>
      <c r="F1137" s="1249"/>
      <c r="G1137" s="1250"/>
      <c r="H1137" s="1250"/>
    </row>
    <row r="1138" spans="3:8" hidden="1">
      <c r="C1138" s="891">
        <v>41599</v>
      </c>
      <c r="D1138" s="974">
        <v>115.86</v>
      </c>
      <c r="E1138" s="895">
        <v>11569</v>
      </c>
      <c r="F1138" s="1249"/>
      <c r="G1138" s="1250"/>
      <c r="H1138" s="1250"/>
    </row>
    <row r="1139" spans="3:8" hidden="1">
      <c r="C1139" s="891">
        <v>41600</v>
      </c>
      <c r="D1139" s="974">
        <v>115.86</v>
      </c>
      <c r="E1139" s="895">
        <v>11569</v>
      </c>
      <c r="F1139" s="1249"/>
      <c r="G1139" s="1250"/>
      <c r="H1139" s="1250"/>
    </row>
    <row r="1140" spans="3:8" hidden="1">
      <c r="C1140" s="891">
        <v>41601</v>
      </c>
      <c r="D1140" s="974">
        <v>115.86</v>
      </c>
      <c r="E1140" s="895">
        <v>11569</v>
      </c>
      <c r="F1140" s="1249"/>
      <c r="G1140" s="1250"/>
      <c r="H1140" s="1250"/>
    </row>
    <row r="1141" spans="3:8" hidden="1">
      <c r="C1141" s="891">
        <v>41602</v>
      </c>
      <c r="D1141" s="974">
        <v>115.86</v>
      </c>
      <c r="E1141" s="895">
        <v>11569</v>
      </c>
      <c r="F1141" s="1249"/>
      <c r="G1141" s="1250"/>
      <c r="H1141" s="1250"/>
    </row>
    <row r="1142" spans="3:8" hidden="1">
      <c r="C1142" s="891">
        <v>41603</v>
      </c>
      <c r="D1142" s="974">
        <v>115.86</v>
      </c>
      <c r="E1142" s="895">
        <v>11569</v>
      </c>
      <c r="F1142" s="1249"/>
      <c r="G1142" s="1250"/>
      <c r="H1142" s="1250"/>
    </row>
    <row r="1143" spans="3:8" hidden="1">
      <c r="C1143" s="891">
        <v>41604</v>
      </c>
      <c r="D1143" s="974">
        <v>115.86</v>
      </c>
      <c r="E1143" s="895">
        <v>11569</v>
      </c>
      <c r="F1143" s="1249"/>
      <c r="G1143" s="1250"/>
      <c r="H1143" s="1250"/>
    </row>
    <row r="1144" spans="3:8" hidden="1">
      <c r="C1144" s="891">
        <v>41605</v>
      </c>
      <c r="D1144" s="974">
        <v>115.79</v>
      </c>
      <c r="E1144" s="895">
        <v>11678</v>
      </c>
      <c r="F1144" s="1249"/>
      <c r="G1144" s="1250"/>
      <c r="H1144" s="1250"/>
    </row>
    <row r="1145" spans="3:8" hidden="1">
      <c r="C1145" s="891">
        <v>41606</v>
      </c>
      <c r="D1145" s="974">
        <v>115.79</v>
      </c>
      <c r="E1145" s="895">
        <v>11678</v>
      </c>
      <c r="F1145" s="1249"/>
      <c r="G1145" s="1250"/>
      <c r="H1145" s="1250"/>
    </row>
    <row r="1146" spans="3:8" hidden="1">
      <c r="C1146" s="891">
        <v>41607</v>
      </c>
      <c r="D1146" s="974">
        <v>115.79</v>
      </c>
      <c r="E1146" s="895">
        <v>11678</v>
      </c>
      <c r="F1146" s="1249"/>
      <c r="G1146" s="1250"/>
      <c r="H1146" s="1250"/>
    </row>
    <row r="1147" spans="3:8" hidden="1">
      <c r="C1147" s="891">
        <v>41608</v>
      </c>
      <c r="D1147" s="974">
        <v>115.79</v>
      </c>
      <c r="E1147" s="895">
        <v>11678</v>
      </c>
      <c r="F1147" s="1249"/>
      <c r="G1147" s="1250"/>
      <c r="H1147" s="1250"/>
    </row>
    <row r="1148" spans="3:8" hidden="1">
      <c r="C1148" s="891">
        <v>41609</v>
      </c>
      <c r="D1148" s="974">
        <v>115.79</v>
      </c>
      <c r="E1148" s="895">
        <v>11678</v>
      </c>
      <c r="F1148" s="1249"/>
      <c r="G1148" s="1250"/>
      <c r="H1148" s="1250"/>
    </row>
    <row r="1149" spans="3:8" hidden="1">
      <c r="C1149" s="891">
        <v>41610</v>
      </c>
      <c r="D1149" s="974">
        <v>115.79</v>
      </c>
      <c r="E1149" s="895">
        <v>11678</v>
      </c>
      <c r="F1149" s="1249"/>
      <c r="G1149" s="1250"/>
      <c r="H1149" s="1250"/>
    </row>
    <row r="1150" spans="3:8" hidden="1">
      <c r="C1150" s="891">
        <v>41611</v>
      </c>
      <c r="D1150" s="974">
        <v>115.79</v>
      </c>
      <c r="E1150" s="895">
        <v>11678</v>
      </c>
      <c r="F1150" s="1249"/>
      <c r="G1150" s="1250"/>
      <c r="H1150" s="1250"/>
    </row>
    <row r="1151" spans="3:8" hidden="1">
      <c r="C1151" s="891">
        <v>41612</v>
      </c>
      <c r="D1151" s="974">
        <v>116.69</v>
      </c>
      <c r="E1151" s="895">
        <v>11916</v>
      </c>
      <c r="F1151" s="1249"/>
      <c r="G1151" s="1250"/>
      <c r="H1151" s="1250"/>
    </row>
    <row r="1152" spans="3:8" hidden="1">
      <c r="C1152" s="891">
        <v>41613</v>
      </c>
      <c r="D1152" s="974">
        <v>116.69</v>
      </c>
      <c r="E1152" s="895">
        <v>11916</v>
      </c>
      <c r="F1152" s="1249"/>
      <c r="G1152" s="1250"/>
      <c r="H1152" s="1250"/>
    </row>
    <row r="1153" spans="3:8" hidden="1">
      <c r="C1153" s="891">
        <v>41614</v>
      </c>
      <c r="D1153" s="974">
        <v>116.69</v>
      </c>
      <c r="E1153" s="895">
        <v>11916</v>
      </c>
      <c r="F1153" s="1249"/>
      <c r="G1153" s="1250"/>
      <c r="H1153" s="1250"/>
    </row>
    <row r="1154" spans="3:8" hidden="1">
      <c r="C1154" s="891">
        <v>41615</v>
      </c>
      <c r="D1154" s="974">
        <v>116.69</v>
      </c>
      <c r="E1154" s="895">
        <v>11916</v>
      </c>
      <c r="F1154" s="1249"/>
      <c r="G1154" s="1250"/>
      <c r="H1154" s="1250"/>
    </row>
    <row r="1155" spans="3:8" hidden="1">
      <c r="C1155" s="891">
        <v>41616</v>
      </c>
      <c r="D1155" s="974">
        <v>116.69</v>
      </c>
      <c r="E1155" s="895">
        <v>11916</v>
      </c>
      <c r="F1155" s="1249"/>
      <c r="G1155" s="1250"/>
      <c r="H1155" s="1250"/>
    </row>
    <row r="1156" spans="3:8" hidden="1">
      <c r="C1156" s="891">
        <v>41617</v>
      </c>
      <c r="D1156" s="974">
        <v>116.69</v>
      </c>
      <c r="E1156" s="895">
        <v>11916</v>
      </c>
      <c r="F1156" s="1249"/>
      <c r="G1156" s="1250"/>
      <c r="H1156" s="1250"/>
    </row>
    <row r="1157" spans="3:8" hidden="1">
      <c r="C1157" s="891">
        <v>41618</v>
      </c>
      <c r="D1157" s="974">
        <v>116.69</v>
      </c>
      <c r="E1157" s="895">
        <v>11916</v>
      </c>
      <c r="F1157" s="1249"/>
      <c r="G1157" s="1250"/>
      <c r="H1157" s="1250"/>
    </row>
    <row r="1158" spans="3:8" hidden="1">
      <c r="C1158" s="891">
        <v>41619</v>
      </c>
      <c r="D1158" s="974">
        <v>116.57</v>
      </c>
      <c r="E1158" s="895">
        <v>11949</v>
      </c>
      <c r="F1158" s="1249"/>
      <c r="G1158" s="1250"/>
      <c r="H1158" s="1250"/>
    </row>
    <row r="1159" spans="3:8" hidden="1">
      <c r="C1159" s="891">
        <v>41620</v>
      </c>
      <c r="D1159" s="974">
        <v>116.57</v>
      </c>
      <c r="E1159" s="895">
        <v>11949</v>
      </c>
      <c r="F1159" s="1249"/>
      <c r="G1159" s="1250"/>
      <c r="H1159" s="1250"/>
    </row>
    <row r="1160" spans="3:8" hidden="1">
      <c r="C1160" s="891">
        <v>41621</v>
      </c>
      <c r="D1160" s="974">
        <v>116.57</v>
      </c>
      <c r="E1160" s="895">
        <v>11949</v>
      </c>
      <c r="F1160" s="1249"/>
      <c r="G1160" s="1250"/>
      <c r="H1160" s="1250"/>
    </row>
    <row r="1161" spans="3:8" hidden="1">
      <c r="C1161" s="891">
        <v>41622</v>
      </c>
      <c r="D1161" s="974">
        <v>116.57</v>
      </c>
      <c r="E1161" s="895">
        <v>11949</v>
      </c>
      <c r="F1161" s="1249"/>
      <c r="G1161" s="1250"/>
      <c r="H1161" s="1250"/>
    </row>
    <row r="1162" spans="3:8" hidden="1">
      <c r="C1162" s="891">
        <v>41623</v>
      </c>
      <c r="D1162" s="974">
        <v>116.57</v>
      </c>
      <c r="E1162" s="895">
        <v>11949</v>
      </c>
      <c r="F1162" s="1249"/>
      <c r="G1162" s="1250"/>
      <c r="H1162" s="1250"/>
    </row>
    <row r="1163" spans="3:8" hidden="1">
      <c r="C1163" s="891">
        <v>41624</v>
      </c>
      <c r="D1163" s="974">
        <v>116.57</v>
      </c>
      <c r="E1163" s="895">
        <v>11949</v>
      </c>
      <c r="F1163" s="1249"/>
      <c r="G1163" s="1250"/>
      <c r="H1163" s="1250"/>
    </row>
    <row r="1164" spans="3:8" hidden="1">
      <c r="C1164" s="891">
        <v>41625</v>
      </c>
      <c r="D1164" s="974">
        <v>116.57</v>
      </c>
      <c r="E1164" s="895">
        <v>11949</v>
      </c>
      <c r="F1164" s="1249"/>
      <c r="G1164" s="1250"/>
      <c r="H1164" s="1250"/>
    </row>
    <row r="1165" spans="3:8" hidden="1">
      <c r="C1165" s="891">
        <v>41626</v>
      </c>
      <c r="D1165" s="974">
        <v>116.91</v>
      </c>
      <c r="E1165" s="895">
        <v>12032</v>
      </c>
      <c r="F1165" s="1249"/>
      <c r="G1165" s="1250"/>
      <c r="H1165" s="1250"/>
    </row>
    <row r="1166" spans="3:8" hidden="1">
      <c r="C1166" s="891">
        <v>41627</v>
      </c>
      <c r="D1166" s="974">
        <v>116.91</v>
      </c>
      <c r="E1166" s="895">
        <v>12032</v>
      </c>
      <c r="F1166" s="1249"/>
      <c r="G1166" s="1250"/>
      <c r="H1166" s="1250"/>
    </row>
    <row r="1167" spans="3:8" hidden="1">
      <c r="C1167" s="891">
        <v>41628</v>
      </c>
      <c r="D1167" s="974">
        <v>116.91</v>
      </c>
      <c r="E1167" s="895">
        <v>12032</v>
      </c>
      <c r="F1167" s="1249"/>
      <c r="G1167" s="1250"/>
      <c r="H1167" s="1250"/>
    </row>
    <row r="1168" spans="3:8" hidden="1">
      <c r="C1168" s="891">
        <v>41629</v>
      </c>
      <c r="D1168" s="974">
        <v>116.91</v>
      </c>
      <c r="E1168" s="895">
        <v>12032</v>
      </c>
      <c r="F1168" s="1249"/>
      <c r="G1168" s="1250"/>
      <c r="H1168" s="1250"/>
    </row>
    <row r="1169" spans="3:8" hidden="1">
      <c r="C1169" s="891">
        <v>41630</v>
      </c>
      <c r="D1169" s="974">
        <v>116.91</v>
      </c>
      <c r="E1169" s="895">
        <v>12032</v>
      </c>
      <c r="F1169" s="1249"/>
      <c r="G1169" s="1250"/>
      <c r="H1169" s="1250"/>
    </row>
    <row r="1170" spans="3:8" hidden="1">
      <c r="C1170" s="891">
        <v>41631</v>
      </c>
      <c r="D1170" s="974">
        <v>116.91</v>
      </c>
      <c r="E1170" s="895">
        <v>12032</v>
      </c>
      <c r="F1170" s="1249"/>
      <c r="G1170" s="1250"/>
      <c r="H1170" s="1250"/>
    </row>
    <row r="1171" spans="3:8" hidden="1">
      <c r="C1171" s="891">
        <v>41632</v>
      </c>
      <c r="D1171" s="974">
        <v>116.91</v>
      </c>
      <c r="E1171" s="895">
        <v>12032</v>
      </c>
      <c r="F1171" s="1249"/>
      <c r="G1171" s="1250"/>
      <c r="H1171" s="1250"/>
    </row>
    <row r="1172" spans="3:6" hidden="1">
      <c r="C1172" s="891">
        <v>41633</v>
      </c>
      <c r="D1172" s="974">
        <v>117.39</v>
      </c>
      <c r="E1172" s="895">
        <v>12194</v>
      </c>
      <c r="F1172" s="1249"/>
    </row>
    <row r="1173" spans="3:6" hidden="1">
      <c r="C1173" s="891">
        <v>41634</v>
      </c>
      <c r="D1173" s="974">
        <v>117.39</v>
      </c>
      <c r="E1173" s="895">
        <v>12194</v>
      </c>
      <c r="F1173" s="1249"/>
    </row>
    <row r="1174" spans="3:6" hidden="1">
      <c r="C1174" s="891">
        <v>41635</v>
      </c>
      <c r="D1174" s="974">
        <v>117.39</v>
      </c>
      <c r="E1174" s="895">
        <v>12194</v>
      </c>
      <c r="F1174" s="1249"/>
    </row>
    <row r="1175" spans="3:6" hidden="1">
      <c r="C1175" s="891">
        <v>41636</v>
      </c>
      <c r="D1175" s="974">
        <v>117.39</v>
      </c>
      <c r="E1175" s="895">
        <v>12194</v>
      </c>
      <c r="F1175" s="1249"/>
    </row>
    <row r="1176" spans="3:6" hidden="1">
      <c r="C1176" s="891">
        <v>41637</v>
      </c>
      <c r="D1176" s="974">
        <v>117.39</v>
      </c>
      <c r="E1176" s="895">
        <v>12194</v>
      </c>
      <c r="F1176" s="1249"/>
    </row>
    <row r="1177" spans="3:6" hidden="1">
      <c r="C1177" s="891">
        <v>41638</v>
      </c>
      <c r="D1177" s="974">
        <v>117.39</v>
      </c>
      <c r="E1177" s="895">
        <v>12194</v>
      </c>
      <c r="F1177" s="1249"/>
    </row>
    <row r="1178" spans="3:6" hidden="1">
      <c r="C1178" s="891">
        <v>41639</v>
      </c>
      <c r="D1178" s="974">
        <v>117.39</v>
      </c>
      <c r="E1178" s="895">
        <v>12194</v>
      </c>
      <c r="F1178" s="1249"/>
    </row>
    <row r="1179" spans="1:6">
      <c r="A1179" s="1247" t="s">
        <v>1377</v>
      </c>
      <c r="C1179" s="891"/>
      <c r="D1179" s="974"/>
      <c r="E1179" s="895"/>
      <c r="F1179" s="1249"/>
    </row>
    <row r="1180" spans="3:6" hidden="1">
      <c r="C1180" s="595">
        <v>41640</v>
      </c>
      <c r="D1180" s="974">
        <v>116.64</v>
      </c>
      <c r="E1180" s="895">
        <v>12225</v>
      </c>
      <c r="F1180" s="1249"/>
    </row>
    <row r="1181" spans="3:6" hidden="1">
      <c r="C1181" s="595">
        <v>41641</v>
      </c>
      <c r="D1181" s="974">
        <v>116.64</v>
      </c>
      <c r="E1181" s="895">
        <v>12225</v>
      </c>
      <c r="F1181" s="1249"/>
    </row>
    <row r="1182" spans="3:6" hidden="1">
      <c r="C1182" s="595">
        <v>41642</v>
      </c>
      <c r="D1182" s="974">
        <v>116.64</v>
      </c>
      <c r="E1182" s="895">
        <v>12225</v>
      </c>
      <c r="F1182" s="1249"/>
    </row>
    <row r="1183" spans="3:6" hidden="1">
      <c r="C1183" s="595">
        <v>41643</v>
      </c>
      <c r="D1183" s="974">
        <v>116.64</v>
      </c>
      <c r="E1183" s="895">
        <v>12225</v>
      </c>
      <c r="F1183" s="1249"/>
    </row>
    <row r="1184" spans="3:6" hidden="1">
      <c r="C1184" s="595">
        <v>41644</v>
      </c>
      <c r="D1184" s="974">
        <v>116.64</v>
      </c>
      <c r="E1184" s="895">
        <v>12225</v>
      </c>
      <c r="F1184" s="1249"/>
    </row>
    <row r="1185" spans="3:6" hidden="1">
      <c r="C1185" s="595">
        <v>41645</v>
      </c>
      <c r="D1185" s="974">
        <v>116.64</v>
      </c>
      <c r="E1185" s="895">
        <v>12225</v>
      </c>
      <c r="F1185" s="1249"/>
    </row>
    <row r="1186" spans="3:6" hidden="1">
      <c r="C1186" s="595">
        <v>41646</v>
      </c>
      <c r="D1186" s="974">
        <v>116.64</v>
      </c>
      <c r="E1186" s="895">
        <v>12225</v>
      </c>
      <c r="F1186" s="1249"/>
    </row>
    <row r="1187" spans="3:6" hidden="1">
      <c r="C1187" s="595">
        <v>41647</v>
      </c>
      <c r="D1187" s="974">
        <v>116.29</v>
      </c>
      <c r="E1187" s="895">
        <v>12176</v>
      </c>
      <c r="F1187" s="1249"/>
    </row>
    <row r="1188" spans="3:6" hidden="1">
      <c r="C1188" s="595">
        <v>41648</v>
      </c>
      <c r="D1188" s="974">
        <v>116.29</v>
      </c>
      <c r="E1188" s="895">
        <v>12176</v>
      </c>
      <c r="F1188" s="1249"/>
    </row>
    <row r="1189" spans="3:6" hidden="1">
      <c r="C1189" s="595">
        <v>41649</v>
      </c>
      <c r="D1189" s="974">
        <v>116.29</v>
      </c>
      <c r="E1189" s="895">
        <v>12176</v>
      </c>
      <c r="F1189" s="1249"/>
    </row>
    <row r="1190" spans="3:6" hidden="1">
      <c r="C1190" s="595">
        <v>41650</v>
      </c>
      <c r="D1190" s="974">
        <v>116.29</v>
      </c>
      <c r="E1190" s="895">
        <v>12176</v>
      </c>
      <c r="F1190" s="1249"/>
    </row>
    <row r="1191" spans="3:6" hidden="1">
      <c r="C1191" s="595">
        <v>41651</v>
      </c>
      <c r="D1191" s="974">
        <v>116.29</v>
      </c>
      <c r="E1191" s="895">
        <v>12176</v>
      </c>
      <c r="F1191" s="1249"/>
    </row>
    <row r="1192" spans="3:6" hidden="1">
      <c r="C1192" s="595">
        <v>41652</v>
      </c>
      <c r="D1192" s="974">
        <v>116.29</v>
      </c>
      <c r="E1192" s="895">
        <v>12176</v>
      </c>
      <c r="F1192" s="1249"/>
    </row>
    <row r="1193" spans="3:6" hidden="1">
      <c r="C1193" s="595">
        <v>41653</v>
      </c>
      <c r="D1193" s="974">
        <v>116.29</v>
      </c>
      <c r="E1193" s="895">
        <v>12176</v>
      </c>
      <c r="F1193" s="1249"/>
    </row>
    <row r="1194" spans="3:6" hidden="1">
      <c r="C1194" s="595">
        <v>41654</v>
      </c>
      <c r="D1194" s="974">
        <v>116.57</v>
      </c>
      <c r="E1194" s="895">
        <v>12206</v>
      </c>
      <c r="F1194" s="1249"/>
    </row>
    <row r="1195" spans="3:6" hidden="1">
      <c r="C1195" s="595">
        <v>41655</v>
      </c>
      <c r="D1195" s="974">
        <v>116.57</v>
      </c>
      <c r="E1195" s="895">
        <v>12206</v>
      </c>
      <c r="F1195" s="1249"/>
    </row>
    <row r="1196" spans="3:6" hidden="1">
      <c r="C1196" s="595">
        <v>41656</v>
      </c>
      <c r="D1196" s="974">
        <v>116.57</v>
      </c>
      <c r="E1196" s="895">
        <v>12206</v>
      </c>
      <c r="F1196" s="1249"/>
    </row>
    <row r="1197" spans="3:6" hidden="1">
      <c r="C1197" s="595">
        <v>41657</v>
      </c>
      <c r="D1197" s="974">
        <v>116.57</v>
      </c>
      <c r="E1197" s="895">
        <v>12206</v>
      </c>
      <c r="F1197" s="1249"/>
    </row>
    <row r="1198" spans="3:6" hidden="1">
      <c r="C1198" s="595">
        <v>41658</v>
      </c>
      <c r="D1198" s="974">
        <v>116.57</v>
      </c>
      <c r="E1198" s="895">
        <v>12206</v>
      </c>
      <c r="F1198" s="1249"/>
    </row>
    <row r="1199" spans="3:6" hidden="1">
      <c r="C1199" s="595">
        <v>41659</v>
      </c>
      <c r="D1199" s="974">
        <v>116.57</v>
      </c>
      <c r="E1199" s="895">
        <v>12206</v>
      </c>
      <c r="F1199" s="1249"/>
    </row>
    <row r="1200" spans="3:6" hidden="1">
      <c r="C1200" s="595">
        <v>41660</v>
      </c>
      <c r="D1200" s="974">
        <v>116.57</v>
      </c>
      <c r="E1200" s="895">
        <v>12206</v>
      </c>
      <c r="F1200" s="1249"/>
    </row>
    <row r="1201" spans="3:6" hidden="1">
      <c r="C1201" s="595">
        <v>41661</v>
      </c>
      <c r="D1201" s="974">
        <v>116.08</v>
      </c>
      <c r="E1201" s="895">
        <v>12102</v>
      </c>
      <c r="F1201" s="1249"/>
    </row>
    <row r="1202" spans="3:6" hidden="1">
      <c r="C1202" s="595">
        <v>41662</v>
      </c>
      <c r="D1202" s="974">
        <v>116.08</v>
      </c>
      <c r="E1202" s="895">
        <v>12102</v>
      </c>
      <c r="F1202" s="1249"/>
    </row>
    <row r="1203" spans="3:6" hidden="1">
      <c r="C1203" s="595">
        <v>41663</v>
      </c>
      <c r="D1203" s="974">
        <v>116.08</v>
      </c>
      <c r="E1203" s="895">
        <v>12102</v>
      </c>
      <c r="F1203" s="1249"/>
    </row>
    <row r="1204" spans="3:6" hidden="1">
      <c r="C1204" s="595">
        <v>41664</v>
      </c>
      <c r="D1204" s="974">
        <v>116.08</v>
      </c>
      <c r="E1204" s="895">
        <v>12102</v>
      </c>
      <c r="F1204" s="1249"/>
    </row>
    <row r="1205" spans="3:6" hidden="1">
      <c r="C1205" s="595">
        <v>41665</v>
      </c>
      <c r="D1205" s="974">
        <v>116.08</v>
      </c>
      <c r="E1205" s="895">
        <v>12102</v>
      </c>
      <c r="F1205" s="1249"/>
    </row>
    <row r="1206" spans="3:6" hidden="1">
      <c r="C1206" s="595">
        <v>41666</v>
      </c>
      <c r="D1206" s="974">
        <v>116.08</v>
      </c>
      <c r="E1206" s="895">
        <v>12102</v>
      </c>
      <c r="F1206" s="1249"/>
    </row>
    <row r="1207" spans="3:6" hidden="1">
      <c r="C1207" s="595">
        <v>41667</v>
      </c>
      <c r="D1207" s="974">
        <v>116.08</v>
      </c>
      <c r="E1207" s="895">
        <v>12102</v>
      </c>
      <c r="F1207" s="1249"/>
    </row>
    <row r="1208" spans="3:6" hidden="1">
      <c r="C1208" s="595">
        <v>41668</v>
      </c>
      <c r="D1208" s="974">
        <v>117.73</v>
      </c>
      <c r="E1208" s="895">
        <v>12168</v>
      </c>
      <c r="F1208" s="1249"/>
    </row>
    <row r="1209" spans="3:6" hidden="1">
      <c r="C1209" s="595">
        <v>41669</v>
      </c>
      <c r="D1209" s="974">
        <v>117.73</v>
      </c>
      <c r="E1209" s="895">
        <v>12168</v>
      </c>
      <c r="F1209" s="1249"/>
    </row>
    <row r="1210" spans="3:6" hidden="1">
      <c r="C1210" s="595">
        <v>41670</v>
      </c>
      <c r="D1210" s="974">
        <v>117.73</v>
      </c>
      <c r="E1210" s="895">
        <v>12168</v>
      </c>
      <c r="F1210" s="1249"/>
    </row>
    <row r="1211" spans="3:6" hidden="1">
      <c r="C1211" s="595">
        <v>41671</v>
      </c>
      <c r="D1211" s="974">
        <v>117.73</v>
      </c>
      <c r="E1211" s="895">
        <v>12168</v>
      </c>
      <c r="F1211" s="1249"/>
    </row>
    <row r="1212" spans="3:6" hidden="1">
      <c r="C1212" s="595">
        <v>41672</v>
      </c>
      <c r="D1212" s="974">
        <v>117.73</v>
      </c>
      <c r="E1212" s="895">
        <v>12168</v>
      </c>
      <c r="F1212" s="1249"/>
    </row>
    <row r="1213" spans="3:6" hidden="1">
      <c r="C1213" s="595">
        <v>41673</v>
      </c>
      <c r="D1213" s="974">
        <v>117.73</v>
      </c>
      <c r="E1213" s="895">
        <v>12168</v>
      </c>
      <c r="F1213" s="1249"/>
    </row>
    <row r="1214" spans="3:6" hidden="1">
      <c r="C1214" s="595">
        <v>41674</v>
      </c>
      <c r="D1214" s="974">
        <v>117.73</v>
      </c>
      <c r="E1214" s="895">
        <v>12168</v>
      </c>
      <c r="F1214" s="1249"/>
    </row>
    <row r="1215" spans="3:6" hidden="1">
      <c r="C1215" s="595">
        <v>41675</v>
      </c>
      <c r="D1215" s="974">
        <v>119.07</v>
      </c>
      <c r="E1215" s="895">
        <v>12203</v>
      </c>
      <c r="F1215" s="1249"/>
    </row>
    <row r="1216" spans="3:6" hidden="1">
      <c r="C1216" s="595">
        <v>41676</v>
      </c>
      <c r="D1216" s="974">
        <v>119.07</v>
      </c>
      <c r="E1216" s="895">
        <v>12203</v>
      </c>
      <c r="F1216" s="1249"/>
    </row>
    <row r="1217" spans="3:6" hidden="1">
      <c r="C1217" s="595">
        <v>41677</v>
      </c>
      <c r="D1217" s="974">
        <v>119.07</v>
      </c>
      <c r="E1217" s="895">
        <v>12203</v>
      </c>
      <c r="F1217" s="1249"/>
    </row>
    <row r="1218" spans="3:6" hidden="1">
      <c r="C1218" s="595">
        <v>41678</v>
      </c>
      <c r="D1218" s="974">
        <v>119.07</v>
      </c>
      <c r="E1218" s="895">
        <v>12203</v>
      </c>
      <c r="F1218" s="1249"/>
    </row>
    <row r="1219" spans="3:6" hidden="1">
      <c r="C1219" s="595">
        <v>41679</v>
      </c>
      <c r="D1219" s="974">
        <v>119.07</v>
      </c>
      <c r="E1219" s="895">
        <v>12203</v>
      </c>
      <c r="F1219" s="1249"/>
    </row>
    <row r="1220" spans="3:6" hidden="1">
      <c r="C1220" s="595">
        <v>41680</v>
      </c>
      <c r="D1220" s="974">
        <v>119.07</v>
      </c>
      <c r="E1220" s="895">
        <v>12203</v>
      </c>
      <c r="F1220" s="1249"/>
    </row>
    <row r="1221" spans="3:6" hidden="1">
      <c r="C1221" s="595">
        <v>41681</v>
      </c>
      <c r="D1221" s="974">
        <v>119.07</v>
      </c>
      <c r="E1221" s="895">
        <v>12203</v>
      </c>
      <c r="F1221" s="1249"/>
    </row>
    <row r="1222" spans="3:6" hidden="1">
      <c r="C1222" s="595">
        <v>41682</v>
      </c>
      <c r="D1222" s="974">
        <v>119.47</v>
      </c>
      <c r="E1222" s="895">
        <v>12184</v>
      </c>
      <c r="F1222" s="1249"/>
    </row>
    <row r="1223" spans="3:6" hidden="1">
      <c r="C1223" s="595">
        <v>41683</v>
      </c>
      <c r="D1223" s="974">
        <v>119.47</v>
      </c>
      <c r="E1223" s="895">
        <v>12184</v>
      </c>
      <c r="F1223" s="1249"/>
    </row>
    <row r="1224" spans="3:6" hidden="1">
      <c r="C1224" s="595">
        <v>41684</v>
      </c>
      <c r="D1224" s="974">
        <v>119.47</v>
      </c>
      <c r="E1224" s="895">
        <v>12184</v>
      </c>
      <c r="F1224" s="1249"/>
    </row>
    <row r="1225" spans="3:6" hidden="1">
      <c r="C1225" s="595">
        <v>41685</v>
      </c>
      <c r="D1225" s="974">
        <v>119.47</v>
      </c>
      <c r="E1225" s="895">
        <v>12184</v>
      </c>
      <c r="F1225" s="1249"/>
    </row>
    <row r="1226" spans="3:6" hidden="1">
      <c r="C1226" s="595">
        <v>41686</v>
      </c>
      <c r="D1226" s="974">
        <v>119.47</v>
      </c>
      <c r="E1226" s="895">
        <v>12184</v>
      </c>
      <c r="F1226" s="1249"/>
    </row>
    <row r="1227" spans="3:6" hidden="1">
      <c r="C1227" s="595">
        <v>41687</v>
      </c>
      <c r="D1227" s="974">
        <v>119.47</v>
      </c>
      <c r="E1227" s="895">
        <v>12184</v>
      </c>
      <c r="F1227" s="1249"/>
    </row>
    <row r="1228" spans="3:6" hidden="1">
      <c r="C1228" s="595">
        <v>41688</v>
      </c>
      <c r="D1228" s="974">
        <v>119.47</v>
      </c>
      <c r="E1228" s="895">
        <v>12184</v>
      </c>
      <c r="F1228" s="1249"/>
    </row>
    <row r="1229" spans="3:6" hidden="1">
      <c r="C1229" s="595">
        <v>41689</v>
      </c>
      <c r="D1229" s="974">
        <v>116.98</v>
      </c>
      <c r="E1229" s="895">
        <v>11950</v>
      </c>
      <c r="F1229" s="1249"/>
    </row>
    <row r="1230" spans="3:6" hidden="1">
      <c r="C1230" s="595">
        <v>41690</v>
      </c>
      <c r="D1230" s="974">
        <v>116.98</v>
      </c>
      <c r="E1230" s="895">
        <v>11950</v>
      </c>
      <c r="F1230" s="1249"/>
    </row>
    <row r="1231" spans="3:6" hidden="1">
      <c r="C1231" s="595">
        <v>41691</v>
      </c>
      <c r="D1231" s="974">
        <v>116.98</v>
      </c>
      <c r="E1231" s="895">
        <v>11950</v>
      </c>
      <c r="F1231" s="1249"/>
    </row>
    <row r="1232" spans="3:6" hidden="1">
      <c r="C1232" s="595">
        <v>41692</v>
      </c>
      <c r="D1232" s="974">
        <v>116.98</v>
      </c>
      <c r="E1232" s="895">
        <v>11950</v>
      </c>
      <c r="F1232" s="1249"/>
    </row>
    <row r="1233" spans="3:6" hidden="1">
      <c r="C1233" s="595">
        <v>41693</v>
      </c>
      <c r="D1233" s="974">
        <v>116.98</v>
      </c>
      <c r="E1233" s="895">
        <v>11950</v>
      </c>
      <c r="F1233" s="1249"/>
    </row>
    <row r="1234" spans="3:6" hidden="1">
      <c r="C1234" s="595">
        <v>41694</v>
      </c>
      <c r="D1234" s="974">
        <v>116.98</v>
      </c>
      <c r="E1234" s="895">
        <v>11950</v>
      </c>
      <c r="F1234" s="1249"/>
    </row>
    <row r="1235" spans="3:6" hidden="1">
      <c r="C1235" s="595">
        <v>41695</v>
      </c>
      <c r="D1235" s="974">
        <v>116.98</v>
      </c>
      <c r="E1235" s="895">
        <v>11950</v>
      </c>
      <c r="F1235" s="1249"/>
    </row>
    <row r="1236" spans="3:6" hidden="1">
      <c r="C1236" s="595">
        <v>41696</v>
      </c>
      <c r="D1236" s="974">
        <v>115.26</v>
      </c>
      <c r="E1236" s="895">
        <v>11793</v>
      </c>
      <c r="F1236" s="1249"/>
    </row>
    <row r="1237" spans="3:6" hidden="1">
      <c r="C1237" s="595">
        <v>41697</v>
      </c>
      <c r="D1237" s="974">
        <v>115.26</v>
      </c>
      <c r="E1237" s="895">
        <v>11793</v>
      </c>
      <c r="F1237" s="1249"/>
    </row>
    <row r="1238" spans="3:6" hidden="1">
      <c r="C1238" s="595">
        <v>41698</v>
      </c>
      <c r="D1238" s="974">
        <v>115.26</v>
      </c>
      <c r="E1238" s="895">
        <v>11793</v>
      </c>
      <c r="F1238" s="1249"/>
    </row>
    <row r="1239" spans="3:6" hidden="1">
      <c r="C1239" s="595">
        <v>41699</v>
      </c>
      <c r="D1239" s="974">
        <v>115.26</v>
      </c>
      <c r="E1239" s="895">
        <v>11793</v>
      </c>
      <c r="F1239" s="1249"/>
    </row>
    <row r="1240" spans="3:6" hidden="1">
      <c r="C1240" s="595">
        <v>41700</v>
      </c>
      <c r="D1240" s="974">
        <v>115.26</v>
      </c>
      <c r="E1240" s="895">
        <v>11793</v>
      </c>
      <c r="F1240" s="1249"/>
    </row>
    <row r="1241" spans="3:6" hidden="1">
      <c r="C1241" s="595">
        <v>41701</v>
      </c>
      <c r="D1241" s="974">
        <v>115.26</v>
      </c>
      <c r="E1241" s="895">
        <v>11793</v>
      </c>
      <c r="F1241" s="1249"/>
    </row>
    <row r="1242" spans="3:6" hidden="1">
      <c r="C1242" s="595">
        <v>41702</v>
      </c>
      <c r="D1242" s="974">
        <v>115.26</v>
      </c>
      <c r="E1242" s="895">
        <v>11793</v>
      </c>
      <c r="F1242" s="1249"/>
    </row>
    <row r="1243" spans="3:6" hidden="1">
      <c r="C1243" s="595">
        <v>41703</v>
      </c>
      <c r="D1243" s="974">
        <v>114.05</v>
      </c>
      <c r="E1243" s="895">
        <v>11633</v>
      </c>
      <c r="F1243" s="1249"/>
    </row>
    <row r="1244" spans="3:6" hidden="1">
      <c r="C1244" s="595">
        <v>41704</v>
      </c>
      <c r="D1244" s="974">
        <v>114.05</v>
      </c>
      <c r="E1244" s="895">
        <v>11633</v>
      </c>
      <c r="F1244" s="1249"/>
    </row>
    <row r="1245" spans="3:6" hidden="1">
      <c r="C1245" s="595">
        <v>41705</v>
      </c>
      <c r="D1245" s="974">
        <v>114.05</v>
      </c>
      <c r="E1245" s="895">
        <v>11633</v>
      </c>
      <c r="F1245" s="1249"/>
    </row>
    <row r="1246" spans="3:6" hidden="1">
      <c r="C1246" s="595">
        <v>41706</v>
      </c>
      <c r="D1246" s="974">
        <v>114.05</v>
      </c>
      <c r="E1246" s="895">
        <v>11633</v>
      </c>
      <c r="F1246" s="1249"/>
    </row>
    <row r="1247" spans="3:6" hidden="1">
      <c r="C1247" s="595">
        <v>41707</v>
      </c>
      <c r="D1247" s="974">
        <v>114.05</v>
      </c>
      <c r="E1247" s="895">
        <v>11633</v>
      </c>
      <c r="F1247" s="1249"/>
    </row>
    <row r="1248" spans="3:6" hidden="1">
      <c r="C1248" s="595">
        <v>41708</v>
      </c>
      <c r="D1248" s="974">
        <v>114.05</v>
      </c>
      <c r="E1248" s="895">
        <v>11633</v>
      </c>
      <c r="F1248" s="1249"/>
    </row>
    <row r="1249" spans="3:6" hidden="1">
      <c r="C1249" s="595">
        <v>41709</v>
      </c>
      <c r="D1249" s="974">
        <v>114.05</v>
      </c>
      <c r="E1249" s="895">
        <v>11633</v>
      </c>
      <c r="F1249" s="1249"/>
    </row>
    <row r="1250" spans="3:6" hidden="1">
      <c r="C1250" s="595">
        <v>41710</v>
      </c>
      <c r="D1250" s="974">
        <v>111.97</v>
      </c>
      <c r="E1250" s="895">
        <v>11510</v>
      </c>
      <c r="F1250" s="1249"/>
    </row>
    <row r="1251" spans="3:6" hidden="1">
      <c r="C1251" s="595">
        <v>41711</v>
      </c>
      <c r="D1251" s="974">
        <v>111.97</v>
      </c>
      <c r="E1251" s="895">
        <v>11510</v>
      </c>
      <c r="F1251" s="1249"/>
    </row>
    <row r="1252" spans="3:6" hidden="1">
      <c r="C1252" s="595">
        <v>41712</v>
      </c>
      <c r="D1252" s="974">
        <v>111.97</v>
      </c>
      <c r="E1252" s="895">
        <v>11510</v>
      </c>
      <c r="F1252" s="1249"/>
    </row>
    <row r="1253" spans="3:6" hidden="1">
      <c r="C1253" s="595">
        <v>41713</v>
      </c>
      <c r="D1253" s="974">
        <v>111.97</v>
      </c>
      <c r="E1253" s="895">
        <v>11510</v>
      </c>
      <c r="F1253" s="1249"/>
    </row>
    <row r="1254" spans="3:6" hidden="1">
      <c r="C1254" s="595">
        <v>41714</v>
      </c>
      <c r="D1254" s="974">
        <v>111.97</v>
      </c>
      <c r="E1254" s="895">
        <v>11510</v>
      </c>
      <c r="F1254" s="1249"/>
    </row>
    <row r="1255" spans="3:6" hidden="1">
      <c r="C1255" s="595">
        <v>41715</v>
      </c>
      <c r="D1255" s="974">
        <v>111.97</v>
      </c>
      <c r="E1255" s="895">
        <v>11510</v>
      </c>
      <c r="F1255" s="1249"/>
    </row>
    <row r="1256" spans="3:6" hidden="1">
      <c r="C1256" s="595">
        <v>41716</v>
      </c>
      <c r="D1256" s="974">
        <v>111.97</v>
      </c>
      <c r="E1256" s="895">
        <v>11510</v>
      </c>
      <c r="F1256" s="1249"/>
    </row>
    <row r="1257" spans="3:6" hidden="1">
      <c r="C1257" s="595">
        <v>41717</v>
      </c>
      <c r="D1257" s="974">
        <v>111.4</v>
      </c>
      <c r="E1257" s="895">
        <v>11393</v>
      </c>
      <c r="F1257" s="1249"/>
    </row>
    <row r="1258" spans="3:6" hidden="1">
      <c r="C1258" s="595">
        <v>41718</v>
      </c>
      <c r="D1258" s="974">
        <v>111.4</v>
      </c>
      <c r="E1258" s="895">
        <v>11393</v>
      </c>
      <c r="F1258" s="1249"/>
    </row>
    <row r="1259" spans="3:6" hidden="1">
      <c r="C1259" s="595">
        <v>41719</v>
      </c>
      <c r="D1259" s="974">
        <v>111.4</v>
      </c>
      <c r="E1259" s="895">
        <v>11393</v>
      </c>
      <c r="F1259" s="1249"/>
    </row>
    <row r="1260" spans="3:6" hidden="1">
      <c r="C1260" s="595">
        <v>41720</v>
      </c>
      <c r="D1260" s="974">
        <v>111.4</v>
      </c>
      <c r="E1260" s="895">
        <v>11393</v>
      </c>
      <c r="F1260" s="1249"/>
    </row>
    <row r="1261" spans="3:6" hidden="1">
      <c r="C1261" s="595">
        <v>41721</v>
      </c>
      <c r="D1261" s="974">
        <v>111.4</v>
      </c>
      <c r="E1261" s="895">
        <v>11393</v>
      </c>
      <c r="F1261" s="1249"/>
    </row>
    <row r="1262" spans="3:6" hidden="1">
      <c r="C1262" s="595">
        <v>41722</v>
      </c>
      <c r="D1262" s="974">
        <v>111.4</v>
      </c>
      <c r="E1262" s="895">
        <v>11393</v>
      </c>
      <c r="F1262" s="1249"/>
    </row>
    <row r="1263" spans="3:6" hidden="1">
      <c r="C1263" s="595">
        <v>41723</v>
      </c>
      <c r="D1263" s="974">
        <v>111.4</v>
      </c>
      <c r="E1263" s="895">
        <v>11393</v>
      </c>
      <c r="F1263" s="1249"/>
    </row>
    <row r="1264" spans="3:6" hidden="1">
      <c r="C1264" s="595">
        <v>41724</v>
      </c>
      <c r="D1264" s="974">
        <v>111.56</v>
      </c>
      <c r="E1264" s="895">
        <v>11381</v>
      </c>
      <c r="F1264" s="1249"/>
    </row>
    <row r="1265" spans="3:6" hidden="1">
      <c r="C1265" s="595">
        <v>41725</v>
      </c>
      <c r="D1265" s="974">
        <v>111.56</v>
      </c>
      <c r="E1265" s="895">
        <v>11381</v>
      </c>
      <c r="F1265" s="1249"/>
    </row>
    <row r="1266" spans="3:6" hidden="1">
      <c r="C1266" s="595">
        <v>41726</v>
      </c>
      <c r="D1266" s="974">
        <v>111.56</v>
      </c>
      <c r="E1266" s="895">
        <v>11381</v>
      </c>
      <c r="F1266" s="1249"/>
    </row>
    <row r="1267" spans="3:6" hidden="1">
      <c r="C1267" s="595">
        <v>41727</v>
      </c>
      <c r="D1267" s="974">
        <v>111.56</v>
      </c>
      <c r="E1267" s="895">
        <v>11381</v>
      </c>
      <c r="F1267" s="1249"/>
    </row>
    <row r="1268" spans="3:6" hidden="1">
      <c r="C1268" s="595">
        <v>41728</v>
      </c>
      <c r="D1268" s="974">
        <v>111.56</v>
      </c>
      <c r="E1268" s="895">
        <v>11381</v>
      </c>
      <c r="F1268" s="1249"/>
    </row>
    <row r="1269" spans="3:6" hidden="1">
      <c r="C1269" s="595">
        <v>41729</v>
      </c>
      <c r="D1269" s="974">
        <v>111.56</v>
      </c>
      <c r="E1269" s="895">
        <v>11381</v>
      </c>
      <c r="F1269" s="1249"/>
    </row>
    <row r="1270" spans="3:6" hidden="1">
      <c r="C1270" s="595">
        <v>41730</v>
      </c>
      <c r="D1270" s="974">
        <v>111.56</v>
      </c>
      <c r="E1270" s="895">
        <v>11381</v>
      </c>
      <c r="F1270" s="1249"/>
    </row>
    <row r="1271" spans="3:6" hidden="1">
      <c r="C1271" s="595">
        <v>41731</v>
      </c>
      <c r="D1271" s="974">
        <v>111.53</v>
      </c>
      <c r="E1271" s="895">
        <v>11400</v>
      </c>
      <c r="F1271" s="1249"/>
    </row>
    <row r="1272" spans="3:6" hidden="1">
      <c r="C1272" s="595">
        <v>41732</v>
      </c>
      <c r="D1272" s="974">
        <v>111.53</v>
      </c>
      <c r="E1272" s="895">
        <v>11400</v>
      </c>
      <c r="F1272" s="1249"/>
    </row>
    <row r="1273" spans="3:6" hidden="1">
      <c r="C1273" s="595">
        <v>41733</v>
      </c>
      <c r="D1273" s="974">
        <v>111.53</v>
      </c>
      <c r="E1273" s="895">
        <v>11400</v>
      </c>
      <c r="F1273" s="1249"/>
    </row>
    <row r="1274" spans="3:6" hidden="1">
      <c r="C1274" s="595">
        <v>41734</v>
      </c>
      <c r="D1274" s="974">
        <v>111.53</v>
      </c>
      <c r="E1274" s="895">
        <v>11400</v>
      </c>
      <c r="F1274" s="1249"/>
    </row>
    <row r="1275" spans="3:6" hidden="1">
      <c r="C1275" s="595">
        <v>41735</v>
      </c>
      <c r="D1275" s="974">
        <v>111.53</v>
      </c>
      <c r="E1275" s="895">
        <v>11400</v>
      </c>
      <c r="F1275" s="1249"/>
    </row>
    <row r="1276" spans="3:6" hidden="1">
      <c r="C1276" s="595">
        <v>41736</v>
      </c>
      <c r="D1276" s="974">
        <v>111.53</v>
      </c>
      <c r="E1276" s="895">
        <v>11400</v>
      </c>
      <c r="F1276" s="1249"/>
    </row>
    <row r="1277" spans="3:6" hidden="1">
      <c r="C1277" s="595">
        <v>41737</v>
      </c>
      <c r="D1277" s="974">
        <v>111.53</v>
      </c>
      <c r="E1277" s="895">
        <v>11400</v>
      </c>
      <c r="F1277" s="1249"/>
    </row>
    <row r="1278" spans="3:6" hidden="1">
      <c r="C1278" s="595">
        <v>41738</v>
      </c>
      <c r="D1278" s="974">
        <v>109.23</v>
      </c>
      <c r="E1278" s="895">
        <v>11313</v>
      </c>
      <c r="F1278" s="1249"/>
    </row>
    <row r="1279" spans="3:6" hidden="1">
      <c r="C1279" s="595">
        <v>41739</v>
      </c>
      <c r="D1279" s="974">
        <v>109.23</v>
      </c>
      <c r="E1279" s="895">
        <v>11313</v>
      </c>
      <c r="F1279" s="1249"/>
    </row>
    <row r="1280" spans="3:6" hidden="1">
      <c r="C1280" s="595">
        <v>41740</v>
      </c>
      <c r="D1280" s="974">
        <v>109.23</v>
      </c>
      <c r="E1280" s="895">
        <v>11313</v>
      </c>
      <c r="F1280" s="1249"/>
    </row>
    <row r="1281" spans="3:6" hidden="1">
      <c r="C1281" s="595">
        <v>41741</v>
      </c>
      <c r="D1281" s="974">
        <v>109.23</v>
      </c>
      <c r="E1281" s="895">
        <v>11313</v>
      </c>
      <c r="F1281" s="1249"/>
    </row>
    <row r="1282" spans="3:6" hidden="1">
      <c r="C1282" s="595">
        <v>41742</v>
      </c>
      <c r="D1282" s="974">
        <v>109.23</v>
      </c>
      <c r="E1282" s="895">
        <v>11313</v>
      </c>
      <c r="F1282" s="1249"/>
    </row>
    <row r="1283" spans="3:6" hidden="1">
      <c r="C1283" s="595">
        <v>41743</v>
      </c>
      <c r="D1283" s="974">
        <v>109.23</v>
      </c>
      <c r="E1283" s="895">
        <v>11313</v>
      </c>
      <c r="F1283" s="1249"/>
    </row>
    <row r="1284" spans="3:6" hidden="1">
      <c r="C1284" s="595">
        <v>41744</v>
      </c>
      <c r="D1284" s="974">
        <v>109.23</v>
      </c>
      <c r="E1284" s="895">
        <v>11313</v>
      </c>
      <c r="F1284" s="1249"/>
    </row>
    <row r="1285" spans="3:6" hidden="1">
      <c r="C1285" s="595">
        <v>41745</v>
      </c>
      <c r="D1285" s="974">
        <v>111.68</v>
      </c>
      <c r="E1285" s="895">
        <v>11378</v>
      </c>
      <c r="F1285" s="1249"/>
    </row>
    <row r="1286" spans="3:6" hidden="1">
      <c r="C1286" s="595">
        <v>41746</v>
      </c>
      <c r="D1286" s="974">
        <v>111.68</v>
      </c>
      <c r="E1286" s="895">
        <v>11378</v>
      </c>
      <c r="F1286" s="1249"/>
    </row>
    <row r="1287" spans="3:6" hidden="1">
      <c r="C1287" s="595">
        <v>41747</v>
      </c>
      <c r="D1287" s="974">
        <v>111.68</v>
      </c>
      <c r="E1287" s="895">
        <v>11378</v>
      </c>
      <c r="F1287" s="1249"/>
    </row>
    <row r="1288" spans="3:6" hidden="1">
      <c r="C1288" s="595">
        <v>41748</v>
      </c>
      <c r="D1288" s="974">
        <v>111.68</v>
      </c>
      <c r="E1288" s="895">
        <v>11378</v>
      </c>
      <c r="F1288" s="1249"/>
    </row>
    <row r="1289" spans="3:6" hidden="1">
      <c r="C1289" s="595">
        <v>41749</v>
      </c>
      <c r="D1289" s="974">
        <v>111.68</v>
      </c>
      <c r="E1289" s="895">
        <v>11378</v>
      </c>
      <c r="F1289" s="1249"/>
    </row>
    <row r="1290" spans="3:6" hidden="1">
      <c r="C1290" s="595">
        <v>41750</v>
      </c>
      <c r="D1290" s="974">
        <v>111.68</v>
      </c>
      <c r="E1290" s="895">
        <v>11378</v>
      </c>
      <c r="F1290" s="1249"/>
    </row>
    <row r="1291" spans="3:6" hidden="1">
      <c r="C1291" s="595">
        <v>41751</v>
      </c>
      <c r="D1291" s="974">
        <v>111.68</v>
      </c>
      <c r="E1291" s="895">
        <v>11378</v>
      </c>
      <c r="F1291" s="1249"/>
    </row>
    <row r="1292" spans="3:6" hidden="1">
      <c r="C1292" s="595">
        <v>41752</v>
      </c>
      <c r="D1292" s="974">
        <v>111.7</v>
      </c>
      <c r="E1292" s="895">
        <v>11430</v>
      </c>
      <c r="F1292" s="1249"/>
    </row>
    <row r="1293" spans="3:6" hidden="1">
      <c r="C1293" s="595">
        <v>41753</v>
      </c>
      <c r="D1293" s="974">
        <v>111.7</v>
      </c>
      <c r="E1293" s="895">
        <v>11430</v>
      </c>
      <c r="F1293" s="1249"/>
    </row>
    <row r="1294" spans="3:6" hidden="1">
      <c r="C1294" s="595">
        <v>41754</v>
      </c>
      <c r="D1294" s="974">
        <v>111.7</v>
      </c>
      <c r="E1294" s="895">
        <v>11430</v>
      </c>
      <c r="F1294" s="1249"/>
    </row>
    <row r="1295" spans="3:6" hidden="1">
      <c r="C1295" s="595">
        <v>41755</v>
      </c>
      <c r="D1295" s="974">
        <v>111.7</v>
      </c>
      <c r="E1295" s="895">
        <v>11430</v>
      </c>
      <c r="F1295" s="1249"/>
    </row>
    <row r="1296" spans="3:6" hidden="1">
      <c r="C1296" s="595">
        <v>41756</v>
      </c>
      <c r="D1296" s="974">
        <v>111.7</v>
      </c>
      <c r="E1296" s="895">
        <v>11430</v>
      </c>
      <c r="F1296" s="1249"/>
    </row>
    <row r="1297" spans="3:6" hidden="1">
      <c r="C1297" s="595">
        <v>41757</v>
      </c>
      <c r="D1297" s="974">
        <v>111.7</v>
      </c>
      <c r="E1297" s="895">
        <v>11430</v>
      </c>
      <c r="F1297" s="1249"/>
    </row>
    <row r="1298" spans="3:6" hidden="1">
      <c r="C1298" s="595">
        <v>41758</v>
      </c>
      <c r="D1298" s="974">
        <v>111.7</v>
      </c>
      <c r="E1298" s="895">
        <v>11430</v>
      </c>
      <c r="F1298" s="1249"/>
    </row>
    <row r="1299" spans="3:6" hidden="1">
      <c r="C1299" s="595">
        <v>41759</v>
      </c>
      <c r="D1299" s="974">
        <v>113.12</v>
      </c>
      <c r="E1299" s="895">
        <v>11579</v>
      </c>
      <c r="F1299" s="1249"/>
    </row>
    <row r="1300" spans="3:6" hidden="1">
      <c r="C1300" s="595">
        <v>41760</v>
      </c>
      <c r="D1300" s="974">
        <v>113.12</v>
      </c>
      <c r="E1300" s="895">
        <v>11579</v>
      </c>
      <c r="F1300" s="1249"/>
    </row>
    <row r="1301" spans="3:6" hidden="1">
      <c r="C1301" s="595">
        <v>41761</v>
      </c>
      <c r="D1301" s="974">
        <v>113.12</v>
      </c>
      <c r="E1301" s="895">
        <v>11579</v>
      </c>
      <c r="F1301" s="1249"/>
    </row>
    <row r="1302" spans="3:6" hidden="1">
      <c r="C1302" s="595">
        <v>41762</v>
      </c>
      <c r="D1302" s="974">
        <v>113.12</v>
      </c>
      <c r="E1302" s="895">
        <v>11579</v>
      </c>
      <c r="F1302" s="1249"/>
    </row>
    <row r="1303" spans="3:6" hidden="1">
      <c r="C1303" s="595">
        <v>41763</v>
      </c>
      <c r="D1303" s="974">
        <v>113.12</v>
      </c>
      <c r="E1303" s="895">
        <v>11579</v>
      </c>
      <c r="F1303" s="1249"/>
    </row>
    <row r="1304" spans="3:6" hidden="1">
      <c r="C1304" s="595">
        <v>41764</v>
      </c>
      <c r="D1304" s="974">
        <v>113.12</v>
      </c>
      <c r="E1304" s="895">
        <v>11579</v>
      </c>
      <c r="F1304" s="1249"/>
    </row>
    <row r="1305" spans="3:6" hidden="1">
      <c r="C1305" s="595">
        <v>41765</v>
      </c>
      <c r="D1305" s="974">
        <v>113.12</v>
      </c>
      <c r="E1305" s="895">
        <v>11579</v>
      </c>
      <c r="F1305" s="1249"/>
    </row>
    <row r="1306" spans="3:6" hidden="1">
      <c r="C1306" s="595">
        <v>41766</v>
      </c>
      <c r="D1306" s="974">
        <v>112.86</v>
      </c>
      <c r="E1306" s="895">
        <v>11558</v>
      </c>
      <c r="F1306" s="1249"/>
    </row>
    <row r="1307" spans="3:6" hidden="1">
      <c r="C1307" s="595">
        <v>41767</v>
      </c>
      <c r="D1307" s="974">
        <v>112.86</v>
      </c>
      <c r="E1307" s="895">
        <v>11558</v>
      </c>
      <c r="F1307" s="1249"/>
    </row>
    <row r="1308" spans="3:6" hidden="1">
      <c r="C1308" s="595">
        <v>41768</v>
      </c>
      <c r="D1308" s="974">
        <v>112.86</v>
      </c>
      <c r="E1308" s="895">
        <v>11558</v>
      </c>
      <c r="F1308" s="1249"/>
    </row>
    <row r="1309" spans="3:6" hidden="1">
      <c r="C1309" s="595">
        <v>41769</v>
      </c>
      <c r="D1309" s="974">
        <v>112.86</v>
      </c>
      <c r="E1309" s="895">
        <v>11558</v>
      </c>
      <c r="F1309" s="1249"/>
    </row>
    <row r="1310" spans="3:6" hidden="1">
      <c r="C1310" s="595">
        <v>41770</v>
      </c>
      <c r="D1310" s="974">
        <v>112.86</v>
      </c>
      <c r="E1310" s="895">
        <v>11558</v>
      </c>
      <c r="F1310" s="1249"/>
    </row>
    <row r="1311" spans="3:6" hidden="1">
      <c r="C1311" s="595">
        <v>41771</v>
      </c>
      <c r="D1311" s="974">
        <v>112.86</v>
      </c>
      <c r="E1311" s="895">
        <v>11558</v>
      </c>
      <c r="F1311" s="1249"/>
    </row>
    <row r="1312" spans="3:6" hidden="1">
      <c r="C1312" s="595">
        <v>41772</v>
      </c>
      <c r="D1312" s="974">
        <v>112.86</v>
      </c>
      <c r="E1312" s="895">
        <v>11558</v>
      </c>
      <c r="F1312" s="1249"/>
    </row>
    <row r="1313" spans="3:6" hidden="1">
      <c r="C1313" s="595">
        <v>41773</v>
      </c>
      <c r="D1313" s="974">
        <v>113.37</v>
      </c>
      <c r="E1313" s="895">
        <v>11544</v>
      </c>
      <c r="F1313" s="1249"/>
    </row>
    <row r="1314" spans="3:6" hidden="1">
      <c r="C1314" s="595">
        <v>41774</v>
      </c>
      <c r="D1314" s="974">
        <v>113.37</v>
      </c>
      <c r="E1314" s="895">
        <v>11544</v>
      </c>
      <c r="F1314" s="1249"/>
    </row>
    <row r="1315" spans="3:6" hidden="1">
      <c r="C1315" s="595">
        <v>41775</v>
      </c>
      <c r="D1315" s="974">
        <v>113.37</v>
      </c>
      <c r="E1315" s="895">
        <v>11544</v>
      </c>
      <c r="F1315" s="1249"/>
    </row>
    <row r="1316" spans="3:6" hidden="1">
      <c r="C1316" s="595">
        <v>41776</v>
      </c>
      <c r="D1316" s="974">
        <v>113.37</v>
      </c>
      <c r="E1316" s="895">
        <v>11544</v>
      </c>
      <c r="F1316" s="1249"/>
    </row>
    <row r="1317" spans="3:6" hidden="1">
      <c r="C1317" s="595">
        <v>41777</v>
      </c>
      <c r="D1317" s="974">
        <v>113.37</v>
      </c>
      <c r="E1317" s="895">
        <v>11544</v>
      </c>
      <c r="F1317" s="1249"/>
    </row>
    <row r="1318" spans="3:6" hidden="1">
      <c r="C1318" s="595">
        <v>41778</v>
      </c>
      <c r="D1318" s="974">
        <v>113.37</v>
      </c>
      <c r="E1318" s="895">
        <v>11544</v>
      </c>
      <c r="F1318" s="1249"/>
    </row>
    <row r="1319" spans="3:6" hidden="1">
      <c r="C1319" s="595">
        <v>41779</v>
      </c>
      <c r="D1319" s="974">
        <v>113.37</v>
      </c>
      <c r="E1319" s="895">
        <v>11544</v>
      </c>
      <c r="F1319" s="1249"/>
    </row>
    <row r="1320" spans="3:6" hidden="1">
      <c r="C1320" s="595">
        <v>41780</v>
      </c>
      <c r="D1320" s="974">
        <v>112.68</v>
      </c>
      <c r="E1320" s="895">
        <v>11466</v>
      </c>
      <c r="F1320" s="1249"/>
    </row>
    <row r="1321" spans="3:6" hidden="1">
      <c r="C1321" s="595">
        <v>41781</v>
      </c>
      <c r="D1321" s="974">
        <v>112.68</v>
      </c>
      <c r="E1321" s="895">
        <v>11466</v>
      </c>
      <c r="F1321" s="1249"/>
    </row>
    <row r="1322" spans="3:6" hidden="1">
      <c r="C1322" s="595">
        <v>41782</v>
      </c>
      <c r="D1322" s="974">
        <v>112.68</v>
      </c>
      <c r="E1322" s="895">
        <v>11466</v>
      </c>
      <c r="F1322" s="1249"/>
    </row>
    <row r="1323" spans="3:6" hidden="1">
      <c r="C1323" s="595">
        <v>41783</v>
      </c>
      <c r="D1323" s="974">
        <v>112.68</v>
      </c>
      <c r="E1323" s="895">
        <v>11466</v>
      </c>
      <c r="F1323" s="1249"/>
    </row>
    <row r="1324" spans="3:6" hidden="1">
      <c r="C1324" s="595">
        <v>41784</v>
      </c>
      <c r="D1324" s="974">
        <v>112.68</v>
      </c>
      <c r="E1324" s="895">
        <v>11466</v>
      </c>
      <c r="F1324" s="1249"/>
    </row>
    <row r="1325" spans="3:6" hidden="1">
      <c r="C1325" s="595">
        <v>41785</v>
      </c>
      <c r="D1325" s="974">
        <v>112.68</v>
      </c>
      <c r="E1325" s="895">
        <v>11466</v>
      </c>
      <c r="F1325" s="1249"/>
    </row>
    <row r="1326" spans="3:6" hidden="1">
      <c r="C1326" s="595">
        <v>41786</v>
      </c>
      <c r="D1326" s="974">
        <v>112.68</v>
      </c>
      <c r="E1326" s="895">
        <v>11466</v>
      </c>
      <c r="F1326" s="1249"/>
    </row>
    <row r="1327" spans="3:6" hidden="1">
      <c r="C1327" s="595">
        <v>41787</v>
      </c>
      <c r="D1327" s="974">
        <v>113.35</v>
      </c>
      <c r="E1327" s="895">
        <v>11513</v>
      </c>
      <c r="F1327" s="1249"/>
    </row>
    <row r="1328" spans="3:6" hidden="1">
      <c r="C1328" s="595">
        <v>41788</v>
      </c>
      <c r="D1328" s="974">
        <v>113.35</v>
      </c>
      <c r="E1328" s="895">
        <v>11513</v>
      </c>
      <c r="F1328" s="1249"/>
    </row>
    <row r="1329" spans="3:6" hidden="1">
      <c r="C1329" s="595">
        <v>41789</v>
      </c>
      <c r="D1329" s="974">
        <v>113.35</v>
      </c>
      <c r="E1329" s="895">
        <v>11513</v>
      </c>
      <c r="F1329" s="1249"/>
    </row>
    <row r="1330" spans="3:6" hidden="1">
      <c r="C1330" s="595">
        <v>41790</v>
      </c>
      <c r="D1330" s="974">
        <v>113.35</v>
      </c>
      <c r="E1330" s="895">
        <v>11513</v>
      </c>
      <c r="F1330" s="1249"/>
    </row>
    <row r="1331" spans="3:6" hidden="1">
      <c r="C1331" s="595">
        <v>41791</v>
      </c>
      <c r="D1331" s="974">
        <v>113.35</v>
      </c>
      <c r="E1331" s="895">
        <v>11513</v>
      </c>
      <c r="F1331" s="1249"/>
    </row>
    <row r="1332" spans="3:6" hidden="1">
      <c r="C1332" s="595">
        <v>41792</v>
      </c>
      <c r="D1332" s="974">
        <v>113.35</v>
      </c>
      <c r="E1332" s="895">
        <v>11513</v>
      </c>
      <c r="F1332" s="1249"/>
    </row>
    <row r="1333" spans="3:6" hidden="1">
      <c r="C1333" s="595">
        <v>41793</v>
      </c>
      <c r="D1333" s="974">
        <v>113.35</v>
      </c>
      <c r="E1333" s="895">
        <v>11513</v>
      </c>
      <c r="F1333" s="1249"/>
    </row>
    <row r="1334" spans="3:6" hidden="1">
      <c r="C1334" s="595">
        <v>41794</v>
      </c>
      <c r="D1334" s="974">
        <v>114.68</v>
      </c>
      <c r="E1334" s="895">
        <v>11683</v>
      </c>
      <c r="F1334" s="1249"/>
    </row>
    <row r="1335" spans="3:6" hidden="1">
      <c r="C1335" s="595">
        <v>41795</v>
      </c>
      <c r="D1335" s="974">
        <v>114.68</v>
      </c>
      <c r="E1335" s="895">
        <v>11683</v>
      </c>
      <c r="F1335" s="1249"/>
    </row>
    <row r="1336" spans="3:6" hidden="1">
      <c r="C1336" s="595">
        <v>41796</v>
      </c>
      <c r="D1336" s="974">
        <v>114.68</v>
      </c>
      <c r="E1336" s="895">
        <v>11683</v>
      </c>
      <c r="F1336" s="1249"/>
    </row>
    <row r="1337" spans="3:6" hidden="1">
      <c r="C1337" s="595">
        <v>41797</v>
      </c>
      <c r="D1337" s="974">
        <v>114.68</v>
      </c>
      <c r="E1337" s="895">
        <v>11683</v>
      </c>
      <c r="F1337" s="1249"/>
    </row>
    <row r="1338" spans="3:6" hidden="1">
      <c r="C1338" s="595">
        <v>41798</v>
      </c>
      <c r="D1338" s="974">
        <v>114.68</v>
      </c>
      <c r="E1338" s="895">
        <v>11683</v>
      </c>
      <c r="F1338" s="1249"/>
    </row>
    <row r="1339" spans="3:6" hidden="1">
      <c r="C1339" s="595">
        <v>41799</v>
      </c>
      <c r="D1339" s="974">
        <v>114.68</v>
      </c>
      <c r="E1339" s="895">
        <v>11683</v>
      </c>
      <c r="F1339" s="1249"/>
    </row>
    <row r="1340" spans="3:6" hidden="1">
      <c r="C1340" s="595">
        <v>41800</v>
      </c>
      <c r="D1340" s="974">
        <v>114.68</v>
      </c>
      <c r="E1340" s="895">
        <v>11683</v>
      </c>
      <c r="F1340" s="1249"/>
    </row>
    <row r="1341" spans="3:6" hidden="1">
      <c r="C1341" s="595">
        <v>41801</v>
      </c>
      <c r="D1341" s="974">
        <v>115.46</v>
      </c>
      <c r="E1341" s="895">
        <v>11841</v>
      </c>
      <c r="F1341" s="1249"/>
    </row>
    <row r="1342" spans="3:6" hidden="1">
      <c r="C1342" s="595">
        <v>41802</v>
      </c>
      <c r="D1342" s="974">
        <v>115.46</v>
      </c>
      <c r="E1342" s="895">
        <v>11841</v>
      </c>
      <c r="F1342" s="1249"/>
    </row>
    <row r="1343" spans="3:6" hidden="1">
      <c r="C1343" s="595">
        <v>41803</v>
      </c>
      <c r="D1343" s="974">
        <v>115.46</v>
      </c>
      <c r="E1343" s="895">
        <v>11841</v>
      </c>
      <c r="F1343" s="1249"/>
    </row>
    <row r="1344" spans="3:6" hidden="1">
      <c r="C1344" s="595">
        <v>41804</v>
      </c>
      <c r="D1344" s="974">
        <v>115.46</v>
      </c>
      <c r="E1344" s="895">
        <v>11841</v>
      </c>
      <c r="F1344" s="1249"/>
    </row>
    <row r="1345" spans="3:6" hidden="1">
      <c r="C1345" s="595">
        <v>41805</v>
      </c>
      <c r="D1345" s="974">
        <v>115.46</v>
      </c>
      <c r="E1345" s="895">
        <v>11841</v>
      </c>
      <c r="F1345" s="1249"/>
    </row>
    <row r="1346" spans="3:6" hidden="1">
      <c r="C1346" s="595">
        <v>41806</v>
      </c>
      <c r="D1346" s="974">
        <v>115.46</v>
      </c>
      <c r="E1346" s="895">
        <v>11841</v>
      </c>
      <c r="F1346" s="1249"/>
    </row>
    <row r="1347" spans="3:6" hidden="1">
      <c r="C1347" s="595">
        <v>41807</v>
      </c>
      <c r="D1347" s="974">
        <v>115.46</v>
      </c>
      <c r="E1347" s="895">
        <v>11841</v>
      </c>
      <c r="F1347" s="1249"/>
    </row>
    <row r="1348" spans="3:6" hidden="1">
      <c r="C1348" s="595">
        <v>41808</v>
      </c>
      <c r="D1348" s="974">
        <v>115.73</v>
      </c>
      <c r="E1348" s="895">
        <v>11806</v>
      </c>
      <c r="F1348" s="1249"/>
    </row>
    <row r="1349" spans="3:6" hidden="1">
      <c r="C1349" s="595">
        <v>41809</v>
      </c>
      <c r="D1349" s="974">
        <v>115.73</v>
      </c>
      <c r="E1349" s="895">
        <v>11806</v>
      </c>
      <c r="F1349" s="1249"/>
    </row>
    <row r="1350" spans="3:6" hidden="1">
      <c r="C1350" s="595">
        <v>41810</v>
      </c>
      <c r="D1350" s="974">
        <v>115.73</v>
      </c>
      <c r="E1350" s="895">
        <v>11806</v>
      </c>
      <c r="F1350" s="1249"/>
    </row>
    <row r="1351" spans="3:6" hidden="1">
      <c r="C1351" s="595">
        <v>41811</v>
      </c>
      <c r="D1351" s="974">
        <v>115.73</v>
      </c>
      <c r="E1351" s="895">
        <v>11806</v>
      </c>
      <c r="F1351" s="1249"/>
    </row>
    <row r="1352" spans="3:6" hidden="1">
      <c r="C1352" s="595">
        <v>41812</v>
      </c>
      <c r="D1352" s="974">
        <v>115.73</v>
      </c>
      <c r="E1352" s="895">
        <v>11806</v>
      </c>
      <c r="F1352" s="1249"/>
    </row>
    <row r="1353" spans="3:6" hidden="1">
      <c r="C1353" s="595">
        <v>41813</v>
      </c>
      <c r="D1353" s="974">
        <v>115.73</v>
      </c>
      <c r="E1353" s="895">
        <v>11806</v>
      </c>
      <c r="F1353" s="1249"/>
    </row>
    <row r="1354" spans="3:6" hidden="1">
      <c r="C1354" s="595">
        <v>41814</v>
      </c>
      <c r="D1354" s="974">
        <v>115.73</v>
      </c>
      <c r="E1354" s="895">
        <v>11806</v>
      </c>
      <c r="F1354" s="1249"/>
    </row>
    <row r="1355" spans="3:6" hidden="1">
      <c r="C1355" s="595">
        <v>41815</v>
      </c>
      <c r="D1355" s="974">
        <v>117.16</v>
      </c>
      <c r="E1355" s="895">
        <v>11955</v>
      </c>
      <c r="F1355" s="1249"/>
    </row>
    <row r="1356" spans="3:6" hidden="1">
      <c r="C1356" s="595">
        <v>41816</v>
      </c>
      <c r="D1356" s="974">
        <v>117.16</v>
      </c>
      <c r="E1356" s="895">
        <v>11955</v>
      </c>
      <c r="F1356" s="1249"/>
    </row>
    <row r="1357" spans="3:6" hidden="1">
      <c r="C1357" s="595">
        <v>41817</v>
      </c>
      <c r="D1357" s="974">
        <v>117.16</v>
      </c>
      <c r="E1357" s="895">
        <v>11955</v>
      </c>
      <c r="F1357" s="1249"/>
    </row>
    <row r="1358" spans="3:6" hidden="1">
      <c r="C1358" s="595">
        <v>41818</v>
      </c>
      <c r="D1358" s="974">
        <v>117.16</v>
      </c>
      <c r="E1358" s="895">
        <v>11955</v>
      </c>
      <c r="F1358" s="1249"/>
    </row>
    <row r="1359" spans="3:6" hidden="1">
      <c r="C1359" s="595">
        <v>41819</v>
      </c>
      <c r="D1359" s="974">
        <v>117.16</v>
      </c>
      <c r="E1359" s="895">
        <v>11955</v>
      </c>
      <c r="F1359" s="1249"/>
    </row>
    <row r="1360" spans="3:6" hidden="1">
      <c r="C1360" s="595">
        <v>41820</v>
      </c>
      <c r="D1360" s="974">
        <v>117.16</v>
      </c>
      <c r="E1360" s="895">
        <v>11955</v>
      </c>
      <c r="F1360" s="1249"/>
    </row>
    <row r="1361" spans="3:6" hidden="1">
      <c r="C1361" s="595">
        <v>41821</v>
      </c>
      <c r="D1361" s="974">
        <v>117.16</v>
      </c>
      <c r="E1361" s="895">
        <v>11955</v>
      </c>
      <c r="F1361" s="1249"/>
    </row>
    <row r="1362" spans="3:6" hidden="1">
      <c r="C1362" s="595">
        <v>41822</v>
      </c>
      <c r="D1362" s="974">
        <v>118.23</v>
      </c>
      <c r="E1362" s="895">
        <v>12020</v>
      </c>
      <c r="F1362" s="1249"/>
    </row>
    <row r="1363" spans="3:6" hidden="1">
      <c r="C1363" s="595">
        <v>41823</v>
      </c>
      <c r="D1363" s="974">
        <v>118.23</v>
      </c>
      <c r="E1363" s="895">
        <v>12020</v>
      </c>
      <c r="F1363" s="1249"/>
    </row>
    <row r="1364" spans="3:6" hidden="1">
      <c r="C1364" s="595">
        <v>41824</v>
      </c>
      <c r="D1364" s="974">
        <v>118.23</v>
      </c>
      <c r="E1364" s="895">
        <v>12020</v>
      </c>
      <c r="F1364" s="1249"/>
    </row>
    <row r="1365" spans="3:6" hidden="1">
      <c r="C1365" s="595">
        <v>41825</v>
      </c>
      <c r="D1365" s="974">
        <v>118.23</v>
      </c>
      <c r="E1365" s="895">
        <v>12020</v>
      </c>
      <c r="F1365" s="1249"/>
    </row>
    <row r="1366" spans="3:6" hidden="1">
      <c r="C1366" s="595">
        <v>41826</v>
      </c>
      <c r="D1366" s="974">
        <v>118.23</v>
      </c>
      <c r="E1366" s="895">
        <v>12020</v>
      </c>
      <c r="F1366" s="1249"/>
    </row>
    <row r="1367" spans="3:6" hidden="1">
      <c r="C1367" s="595">
        <v>41827</v>
      </c>
      <c r="D1367" s="974">
        <v>118.23</v>
      </c>
      <c r="E1367" s="895">
        <v>12020</v>
      </c>
      <c r="F1367" s="1249"/>
    </row>
    <row r="1368" spans="3:6" hidden="1">
      <c r="C1368" s="595">
        <v>41828</v>
      </c>
      <c r="D1368" s="974">
        <v>118.23</v>
      </c>
      <c r="E1368" s="895">
        <v>12020</v>
      </c>
      <c r="F1368" s="1249"/>
    </row>
    <row r="1369" spans="3:6" hidden="1">
      <c r="C1369" s="595">
        <v>41829</v>
      </c>
      <c r="D1369" s="974">
        <v>116.42</v>
      </c>
      <c r="E1369" s="895">
        <v>11869</v>
      </c>
      <c r="F1369" s="1249"/>
    </row>
    <row r="1370" spans="3:6" hidden="1">
      <c r="C1370" s="595">
        <v>41830</v>
      </c>
      <c r="D1370" s="974">
        <v>116.42</v>
      </c>
      <c r="E1370" s="895">
        <v>11869</v>
      </c>
      <c r="F1370" s="1249"/>
    </row>
    <row r="1371" spans="3:6" hidden="1">
      <c r="C1371" s="595">
        <v>41831</v>
      </c>
      <c r="D1371" s="974">
        <v>116.42</v>
      </c>
      <c r="E1371" s="895">
        <v>11869</v>
      </c>
      <c r="F1371" s="1249"/>
    </row>
    <row r="1372" spans="3:6" hidden="1">
      <c r="C1372" s="595">
        <v>41832</v>
      </c>
      <c r="D1372" s="974">
        <v>116.42</v>
      </c>
      <c r="E1372" s="895">
        <v>11869</v>
      </c>
      <c r="F1372" s="1249"/>
    </row>
    <row r="1373" spans="3:6" hidden="1">
      <c r="C1373" s="595">
        <v>41833</v>
      </c>
      <c r="D1373" s="974">
        <v>116.42</v>
      </c>
      <c r="E1373" s="895">
        <v>11869</v>
      </c>
      <c r="F1373" s="1249"/>
    </row>
    <row r="1374" spans="3:6" hidden="1">
      <c r="C1374" s="595">
        <v>41834</v>
      </c>
      <c r="D1374" s="974">
        <v>116.42</v>
      </c>
      <c r="E1374" s="895">
        <v>11869</v>
      </c>
      <c r="F1374" s="1249"/>
    </row>
    <row r="1375" spans="3:6" hidden="1">
      <c r="C1375" s="595">
        <v>41835</v>
      </c>
      <c r="D1375" s="974">
        <v>116.42</v>
      </c>
      <c r="E1375" s="895">
        <v>11869</v>
      </c>
      <c r="F1375" s="1249"/>
    </row>
    <row r="1376" spans="3:6" hidden="1">
      <c r="C1376" s="595">
        <v>41836</v>
      </c>
      <c r="D1376" s="974">
        <v>114.35</v>
      </c>
      <c r="E1376" s="895">
        <v>11601</v>
      </c>
      <c r="F1376" s="1249"/>
    </row>
    <row r="1377" spans="3:6" hidden="1">
      <c r="C1377" s="595">
        <v>41837</v>
      </c>
      <c r="D1377" s="974">
        <v>114.35</v>
      </c>
      <c r="E1377" s="895">
        <v>11601</v>
      </c>
      <c r="F1377" s="1249"/>
    </row>
    <row r="1378" spans="3:6" hidden="1">
      <c r="C1378" s="595">
        <v>41838</v>
      </c>
      <c r="D1378" s="974">
        <v>114.35</v>
      </c>
      <c r="E1378" s="895">
        <v>11601</v>
      </c>
      <c r="F1378" s="1249"/>
    </row>
    <row r="1379" spans="3:6" hidden="1">
      <c r="C1379" s="595">
        <v>41839</v>
      </c>
      <c r="D1379" s="974">
        <v>114.35</v>
      </c>
      <c r="E1379" s="895">
        <v>11601</v>
      </c>
      <c r="F1379" s="1249"/>
    </row>
    <row r="1380" spans="3:6" hidden="1">
      <c r="C1380" s="595">
        <v>41840</v>
      </c>
      <c r="D1380" s="974">
        <v>114.35</v>
      </c>
      <c r="E1380" s="895">
        <v>11601</v>
      </c>
      <c r="F1380" s="1249"/>
    </row>
    <row r="1381" spans="3:6" hidden="1">
      <c r="C1381" s="595">
        <v>41841</v>
      </c>
      <c r="D1381" s="974">
        <v>114.35</v>
      </c>
      <c r="E1381" s="895">
        <v>11601</v>
      </c>
      <c r="F1381" s="1249"/>
    </row>
    <row r="1382" spans="3:6" hidden="1">
      <c r="C1382" s="595">
        <v>41842</v>
      </c>
      <c r="D1382" s="974">
        <v>114.35</v>
      </c>
      <c r="E1382" s="895">
        <v>11601</v>
      </c>
      <c r="F1382" s="1249"/>
    </row>
    <row r="1383" spans="3:6" hidden="1">
      <c r="C1383" s="595">
        <v>41843</v>
      </c>
      <c r="D1383" s="974">
        <v>115</v>
      </c>
      <c r="E1383" s="895">
        <v>11666</v>
      </c>
      <c r="F1383" s="1249"/>
    </row>
    <row r="1384" spans="3:6" hidden="1">
      <c r="C1384" s="595">
        <v>41844</v>
      </c>
      <c r="D1384" s="974">
        <v>115</v>
      </c>
      <c r="E1384" s="895">
        <v>11666</v>
      </c>
      <c r="F1384" s="1249"/>
    </row>
    <row r="1385" spans="3:6" hidden="1">
      <c r="C1385" s="595">
        <v>41845</v>
      </c>
      <c r="D1385" s="974">
        <v>115</v>
      </c>
      <c r="E1385" s="895">
        <v>11666</v>
      </c>
      <c r="F1385" s="1249"/>
    </row>
    <row r="1386" spans="3:6" hidden="1">
      <c r="C1386" s="595">
        <v>41846</v>
      </c>
      <c r="D1386" s="974">
        <v>115</v>
      </c>
      <c r="E1386" s="895">
        <v>11666</v>
      </c>
      <c r="F1386" s="1249"/>
    </row>
    <row r="1387" spans="3:6" hidden="1">
      <c r="C1387" s="595">
        <v>41847</v>
      </c>
      <c r="D1387" s="974">
        <v>115</v>
      </c>
      <c r="E1387" s="895">
        <v>11666</v>
      </c>
      <c r="F1387" s="1249"/>
    </row>
    <row r="1388" spans="3:6" hidden="1">
      <c r="C1388" s="595">
        <v>41848</v>
      </c>
      <c r="D1388" s="974">
        <v>115</v>
      </c>
      <c r="E1388" s="895">
        <v>11666</v>
      </c>
      <c r="F1388" s="1249"/>
    </row>
    <row r="1389" spans="3:6" hidden="1">
      <c r="C1389" s="595">
        <v>41849</v>
      </c>
      <c r="D1389" s="974">
        <v>115</v>
      </c>
      <c r="E1389" s="895">
        <v>11666</v>
      </c>
      <c r="F1389" s="1249"/>
    </row>
    <row r="1390" spans="3:6" hidden="1">
      <c r="C1390" s="595">
        <v>41850</v>
      </c>
      <c r="D1390" s="974">
        <v>115</v>
      </c>
      <c r="E1390" s="895">
        <v>11666</v>
      </c>
      <c r="F1390" s="1249"/>
    </row>
    <row r="1391" spans="3:6" hidden="1">
      <c r="C1391" s="595">
        <v>41851</v>
      </c>
      <c r="D1391" s="974">
        <v>115</v>
      </c>
      <c r="E1391" s="895">
        <v>11666</v>
      </c>
      <c r="F1391" s="1249"/>
    </row>
    <row r="1392" spans="3:6" hidden="1">
      <c r="C1392" s="595">
        <v>41852</v>
      </c>
      <c r="D1392" s="974">
        <v>115</v>
      </c>
      <c r="E1392" s="895">
        <v>11666</v>
      </c>
      <c r="F1392" s="1249"/>
    </row>
    <row r="1393" spans="3:6" hidden="1">
      <c r="C1393" s="595">
        <v>41853</v>
      </c>
      <c r="D1393" s="974">
        <v>115</v>
      </c>
      <c r="E1393" s="895">
        <v>11666</v>
      </c>
      <c r="F1393" s="1249"/>
    </row>
    <row r="1394" spans="3:6" hidden="1">
      <c r="C1394" s="595">
        <v>41854</v>
      </c>
      <c r="D1394" s="974">
        <v>115</v>
      </c>
      <c r="E1394" s="895">
        <v>11666</v>
      </c>
      <c r="F1394" s="1249"/>
    </row>
    <row r="1395" spans="3:6" hidden="1">
      <c r="C1395" s="595">
        <v>41855</v>
      </c>
      <c r="D1395" s="974">
        <v>115</v>
      </c>
      <c r="E1395" s="895">
        <v>11666</v>
      </c>
      <c r="F1395" s="1249"/>
    </row>
    <row r="1396" spans="3:6" hidden="1">
      <c r="C1396" s="595">
        <v>41856</v>
      </c>
      <c r="D1396" s="974">
        <v>115</v>
      </c>
      <c r="E1396" s="895">
        <v>11666</v>
      </c>
      <c r="F1396" s="1249"/>
    </row>
    <row r="1397" spans="3:6" hidden="1">
      <c r="C1397" s="595">
        <v>41857</v>
      </c>
      <c r="D1397" s="974">
        <v>114.15</v>
      </c>
      <c r="E1397" s="895">
        <v>11711</v>
      </c>
      <c r="F1397" s="1249"/>
    </row>
    <row r="1398" spans="3:6" hidden="1">
      <c r="C1398" s="595">
        <v>41858</v>
      </c>
      <c r="D1398" s="974">
        <v>114.15</v>
      </c>
      <c r="E1398" s="895">
        <v>11711</v>
      </c>
      <c r="F1398" s="1249"/>
    </row>
    <row r="1399" spans="3:6" hidden="1">
      <c r="C1399" s="595">
        <v>41859</v>
      </c>
      <c r="D1399" s="974">
        <v>114.15</v>
      </c>
      <c r="E1399" s="895">
        <v>11711</v>
      </c>
      <c r="F1399" s="1249"/>
    </row>
    <row r="1400" spans="3:6" hidden="1">
      <c r="C1400" s="595">
        <v>41860</v>
      </c>
      <c r="D1400" s="974">
        <v>114.15</v>
      </c>
      <c r="E1400" s="895">
        <v>11711</v>
      </c>
      <c r="F1400" s="1249"/>
    </row>
    <row r="1401" spans="3:6" hidden="1">
      <c r="C1401" s="595">
        <v>41861</v>
      </c>
      <c r="D1401" s="974">
        <v>114.15</v>
      </c>
      <c r="E1401" s="895">
        <v>11711</v>
      </c>
      <c r="F1401" s="1249"/>
    </row>
    <row r="1402" spans="3:6" hidden="1">
      <c r="C1402" s="595">
        <v>41862</v>
      </c>
      <c r="D1402" s="974">
        <v>114.15</v>
      </c>
      <c r="E1402" s="895">
        <v>11711</v>
      </c>
      <c r="F1402" s="1249"/>
    </row>
    <row r="1403" spans="3:6" hidden="1">
      <c r="C1403" s="595">
        <v>41863</v>
      </c>
      <c r="D1403" s="974">
        <v>114.15</v>
      </c>
      <c r="E1403" s="895">
        <v>11711</v>
      </c>
      <c r="F1403" s="1249"/>
    </row>
    <row r="1404" spans="3:6" hidden="1">
      <c r="C1404" s="595">
        <v>41864</v>
      </c>
      <c r="D1404" s="974">
        <v>115.75</v>
      </c>
      <c r="E1404" s="895">
        <v>11742</v>
      </c>
      <c r="F1404" s="1249"/>
    </row>
    <row r="1405" spans="3:6" hidden="1">
      <c r="C1405" s="595">
        <v>41865</v>
      </c>
      <c r="D1405" s="974">
        <v>115.75</v>
      </c>
      <c r="E1405" s="895">
        <v>11742</v>
      </c>
      <c r="F1405" s="1249"/>
    </row>
    <row r="1406" spans="3:6" hidden="1">
      <c r="C1406" s="595">
        <v>41866</v>
      </c>
      <c r="D1406" s="974">
        <v>115.75</v>
      </c>
      <c r="E1406" s="895">
        <v>11742</v>
      </c>
      <c r="F1406" s="1249"/>
    </row>
    <row r="1407" spans="3:6" hidden="1">
      <c r="C1407" s="595">
        <v>41867</v>
      </c>
      <c r="D1407" s="974">
        <v>115.75</v>
      </c>
      <c r="E1407" s="895">
        <v>11742</v>
      </c>
      <c r="F1407" s="1249"/>
    </row>
    <row r="1408" spans="3:6" hidden="1">
      <c r="C1408" s="595">
        <v>41868</v>
      </c>
      <c r="D1408" s="974">
        <v>115.75</v>
      </c>
      <c r="E1408" s="895">
        <v>11742</v>
      </c>
      <c r="F1408" s="1249"/>
    </row>
    <row r="1409" spans="3:6" hidden="1">
      <c r="C1409" s="595">
        <v>41869</v>
      </c>
      <c r="D1409" s="974">
        <v>115.75</v>
      </c>
      <c r="E1409" s="895">
        <v>11742</v>
      </c>
      <c r="F1409" s="1249"/>
    </row>
    <row r="1410" spans="3:6" hidden="1">
      <c r="C1410" s="595">
        <v>41870</v>
      </c>
      <c r="D1410" s="974">
        <v>115.75</v>
      </c>
      <c r="E1410" s="895">
        <v>11742</v>
      </c>
      <c r="F1410" s="1249"/>
    </row>
    <row r="1411" spans="3:6" hidden="1">
      <c r="C1411" s="595">
        <v>41871</v>
      </c>
      <c r="D1411" s="974">
        <v>114.14</v>
      </c>
      <c r="E1411" s="895">
        <v>11684</v>
      </c>
      <c r="F1411" s="1249"/>
    </row>
    <row r="1412" spans="3:6" hidden="1">
      <c r="C1412" s="595">
        <v>41872</v>
      </c>
      <c r="D1412" s="974">
        <v>114.14</v>
      </c>
      <c r="E1412" s="895">
        <v>11684</v>
      </c>
      <c r="F1412" s="1249"/>
    </row>
    <row r="1413" spans="3:6" hidden="1">
      <c r="C1413" s="595">
        <v>41873</v>
      </c>
      <c r="D1413" s="974">
        <v>114.14</v>
      </c>
      <c r="E1413" s="895">
        <v>11684</v>
      </c>
      <c r="F1413" s="1249"/>
    </row>
    <row r="1414" spans="3:6" hidden="1">
      <c r="C1414" s="595">
        <v>41874</v>
      </c>
      <c r="D1414" s="974">
        <v>114.14</v>
      </c>
      <c r="E1414" s="895">
        <v>11684</v>
      </c>
      <c r="F1414" s="1249"/>
    </row>
    <row r="1415" spans="3:6" hidden="1">
      <c r="C1415" s="595">
        <v>41875</v>
      </c>
      <c r="D1415" s="974">
        <v>114.14</v>
      </c>
      <c r="E1415" s="895">
        <v>11684</v>
      </c>
      <c r="F1415" s="1249"/>
    </row>
    <row r="1416" spans="3:6" hidden="1">
      <c r="C1416" s="595">
        <v>41876</v>
      </c>
      <c r="D1416" s="974">
        <v>114.14</v>
      </c>
      <c r="E1416" s="895">
        <v>11684</v>
      </c>
      <c r="F1416" s="1249"/>
    </row>
    <row r="1417" spans="3:6" hidden="1">
      <c r="C1417" s="595">
        <v>41877</v>
      </c>
      <c r="D1417" s="974">
        <v>114.14</v>
      </c>
      <c r="E1417" s="895">
        <v>11684</v>
      </c>
      <c r="F1417" s="1249"/>
    </row>
    <row r="1418" spans="3:6" hidden="1">
      <c r="C1418" s="595">
        <v>41878</v>
      </c>
      <c r="D1418" s="974">
        <v>112.73</v>
      </c>
      <c r="E1418" s="895">
        <v>11694</v>
      </c>
      <c r="F1418" s="1249"/>
    </row>
    <row r="1419" spans="3:6" hidden="1">
      <c r="C1419" s="595">
        <v>41879</v>
      </c>
      <c r="D1419" s="974">
        <v>112.73</v>
      </c>
      <c r="E1419" s="895">
        <v>11694</v>
      </c>
      <c r="F1419" s="1249"/>
    </row>
    <row r="1420" spans="3:6" hidden="1">
      <c r="C1420" s="595">
        <v>41880</v>
      </c>
      <c r="D1420" s="974">
        <v>112.73</v>
      </c>
      <c r="E1420" s="895">
        <v>11694</v>
      </c>
      <c r="F1420" s="1249"/>
    </row>
    <row r="1421" spans="3:6" hidden="1">
      <c r="C1421" s="595">
        <v>41881</v>
      </c>
      <c r="D1421" s="974">
        <v>112.73</v>
      </c>
      <c r="E1421" s="895">
        <v>11694</v>
      </c>
      <c r="F1421" s="1249"/>
    </row>
    <row r="1422" spans="3:6" hidden="1">
      <c r="C1422" s="595">
        <v>41882</v>
      </c>
      <c r="D1422" s="974">
        <v>112.73</v>
      </c>
      <c r="E1422" s="895">
        <v>11694</v>
      </c>
      <c r="F1422" s="1249"/>
    </row>
    <row r="1423" spans="3:6" hidden="1">
      <c r="C1423" s="595">
        <v>41883</v>
      </c>
      <c r="D1423" s="974">
        <v>112.73</v>
      </c>
      <c r="E1423" s="895">
        <v>11694</v>
      </c>
      <c r="F1423" s="1249"/>
    </row>
    <row r="1424" spans="3:6" hidden="1">
      <c r="C1424" s="595">
        <v>41884</v>
      </c>
      <c r="D1424" s="974">
        <v>112.73</v>
      </c>
      <c r="E1424" s="895">
        <v>11694</v>
      </c>
      <c r="F1424" s="1249"/>
    </row>
    <row r="1425" spans="3:6" hidden="1">
      <c r="C1425" s="595">
        <v>41885</v>
      </c>
      <c r="D1425" s="974">
        <v>112.47</v>
      </c>
      <c r="E1425" s="895">
        <v>11696</v>
      </c>
      <c r="F1425" s="1249"/>
    </row>
    <row r="1426" spans="3:6" hidden="1">
      <c r="C1426" s="595">
        <v>41886</v>
      </c>
      <c r="D1426" s="974">
        <v>112.47</v>
      </c>
      <c r="E1426" s="895">
        <v>11696</v>
      </c>
      <c r="F1426" s="1249"/>
    </row>
    <row r="1427" spans="3:6" hidden="1">
      <c r="C1427" s="595">
        <v>41887</v>
      </c>
      <c r="D1427" s="974">
        <v>112.47</v>
      </c>
      <c r="E1427" s="895">
        <v>11696</v>
      </c>
      <c r="F1427" s="1249"/>
    </row>
    <row r="1428" spans="3:6" hidden="1">
      <c r="C1428" s="595">
        <v>41888</v>
      </c>
      <c r="D1428" s="974">
        <v>112.47</v>
      </c>
      <c r="E1428" s="895">
        <v>11696</v>
      </c>
      <c r="F1428" s="1249"/>
    </row>
    <row r="1429" spans="3:6" hidden="1">
      <c r="C1429" s="595">
        <v>41889</v>
      </c>
      <c r="D1429" s="974">
        <v>112.47</v>
      </c>
      <c r="E1429" s="895">
        <v>11696</v>
      </c>
      <c r="F1429" s="1249"/>
    </row>
    <row r="1430" spans="3:6" hidden="1">
      <c r="C1430" s="595">
        <v>41890</v>
      </c>
      <c r="D1430" s="974">
        <v>112.47</v>
      </c>
      <c r="E1430" s="895">
        <v>11696</v>
      </c>
      <c r="F1430" s="1249"/>
    </row>
    <row r="1431" spans="3:6" hidden="1">
      <c r="C1431" s="595">
        <v>41891</v>
      </c>
      <c r="D1431" s="974">
        <v>112.47</v>
      </c>
      <c r="E1431" s="895">
        <v>11696</v>
      </c>
      <c r="F1431" s="1249"/>
    </row>
    <row r="1432" spans="3:6" hidden="1">
      <c r="C1432" s="595">
        <v>41892</v>
      </c>
      <c r="D1432" s="974">
        <v>111.83</v>
      </c>
      <c r="E1432" s="895">
        <v>11750</v>
      </c>
      <c r="F1432" s="1249"/>
    </row>
    <row r="1433" spans="3:6" hidden="1">
      <c r="C1433" s="595">
        <v>41893</v>
      </c>
      <c r="D1433" s="974">
        <v>111.83</v>
      </c>
      <c r="E1433" s="895">
        <v>11750</v>
      </c>
      <c r="F1433" s="1249"/>
    </row>
    <row r="1434" spans="3:6" hidden="1">
      <c r="C1434" s="595">
        <v>41894</v>
      </c>
      <c r="D1434" s="974">
        <v>111.83</v>
      </c>
      <c r="E1434" s="895">
        <v>11750</v>
      </c>
      <c r="F1434" s="1249"/>
    </row>
    <row r="1435" spans="3:6" hidden="1">
      <c r="C1435" s="595">
        <v>41895</v>
      </c>
      <c r="D1435" s="974">
        <v>111.83</v>
      </c>
      <c r="E1435" s="895">
        <v>11750</v>
      </c>
      <c r="F1435" s="1249"/>
    </row>
    <row r="1436" spans="3:6" hidden="1">
      <c r="C1436" s="595">
        <v>41896</v>
      </c>
      <c r="D1436" s="974">
        <v>111.83</v>
      </c>
      <c r="E1436" s="895">
        <v>11750</v>
      </c>
      <c r="F1436" s="1249"/>
    </row>
    <row r="1437" spans="3:6" hidden="1">
      <c r="C1437" s="595">
        <v>41897</v>
      </c>
      <c r="D1437" s="974">
        <v>111.83</v>
      </c>
      <c r="E1437" s="895">
        <v>11750</v>
      </c>
      <c r="F1437" s="1249"/>
    </row>
    <row r="1438" spans="3:6" hidden="1">
      <c r="C1438" s="595">
        <v>41898</v>
      </c>
      <c r="D1438" s="974">
        <v>111.83</v>
      </c>
      <c r="E1438" s="895">
        <v>11750</v>
      </c>
      <c r="F1438" s="1249"/>
    </row>
    <row r="1439" spans="3:6" hidden="1">
      <c r="C1439" s="595">
        <v>41899</v>
      </c>
      <c r="D1439" s="974">
        <v>110.55</v>
      </c>
      <c r="E1439" s="895">
        <v>11824</v>
      </c>
      <c r="F1439" s="1249"/>
    </row>
    <row r="1440" spans="3:6" hidden="1">
      <c r="C1440" s="595">
        <v>41900</v>
      </c>
      <c r="D1440" s="974">
        <v>110.55</v>
      </c>
      <c r="E1440" s="895">
        <v>11824</v>
      </c>
      <c r="F1440" s="1249"/>
    </row>
    <row r="1441" spans="3:6" hidden="1">
      <c r="C1441" s="595">
        <v>41901</v>
      </c>
      <c r="D1441" s="974">
        <v>110.55</v>
      </c>
      <c r="E1441" s="895">
        <v>11824</v>
      </c>
      <c r="F1441" s="1249"/>
    </row>
    <row r="1442" spans="3:6" hidden="1">
      <c r="C1442" s="595">
        <v>41902</v>
      </c>
      <c r="D1442" s="974">
        <v>110.55</v>
      </c>
      <c r="E1442" s="895">
        <v>11824</v>
      </c>
      <c r="F1442" s="1249"/>
    </row>
    <row r="1443" spans="3:6" hidden="1">
      <c r="C1443" s="595">
        <v>41903</v>
      </c>
      <c r="D1443" s="974">
        <v>110.55</v>
      </c>
      <c r="E1443" s="895">
        <v>11824</v>
      </c>
      <c r="F1443" s="1249"/>
    </row>
    <row r="1444" spans="3:6" hidden="1">
      <c r="C1444" s="595">
        <v>41904</v>
      </c>
      <c r="D1444" s="974">
        <v>110.55</v>
      </c>
      <c r="E1444" s="895">
        <v>11824</v>
      </c>
      <c r="F1444" s="1249"/>
    </row>
    <row r="1445" spans="3:6" hidden="1">
      <c r="C1445" s="595">
        <v>41905</v>
      </c>
      <c r="D1445" s="974">
        <v>110.55</v>
      </c>
      <c r="E1445" s="895">
        <v>11824</v>
      </c>
      <c r="F1445" s="1249"/>
    </row>
    <row r="1446" spans="3:6" hidden="1">
      <c r="C1446" s="595">
        <v>41906</v>
      </c>
      <c r="D1446" s="974">
        <v>110.67</v>
      </c>
      <c r="E1446" s="895">
        <v>11973</v>
      </c>
      <c r="F1446" s="1249"/>
    </row>
    <row r="1447" spans="3:6" hidden="1">
      <c r="C1447" s="595">
        <v>41907</v>
      </c>
      <c r="D1447" s="974">
        <v>110.67</v>
      </c>
      <c r="E1447" s="895">
        <v>11973</v>
      </c>
      <c r="F1447" s="1249"/>
    </row>
    <row r="1448" spans="3:6" hidden="1">
      <c r="C1448" s="595">
        <v>41908</v>
      </c>
      <c r="D1448" s="974">
        <v>110.67</v>
      </c>
      <c r="E1448" s="895">
        <v>11973</v>
      </c>
      <c r="F1448" s="1249"/>
    </row>
    <row r="1449" spans="3:6" hidden="1">
      <c r="C1449" s="595">
        <v>41909</v>
      </c>
      <c r="D1449" s="974">
        <v>110.67</v>
      </c>
      <c r="E1449" s="895">
        <v>11973</v>
      </c>
      <c r="F1449" s="1249"/>
    </row>
    <row r="1450" spans="3:6" hidden="1">
      <c r="C1450" s="595">
        <v>41910</v>
      </c>
      <c r="D1450" s="974">
        <v>110.67</v>
      </c>
      <c r="E1450" s="895">
        <v>11973</v>
      </c>
      <c r="F1450" s="1249"/>
    </row>
    <row r="1451" spans="3:6" hidden="1">
      <c r="C1451" s="595">
        <v>41911</v>
      </c>
      <c r="D1451" s="974">
        <v>110.67</v>
      </c>
      <c r="E1451" s="895">
        <v>11973</v>
      </c>
      <c r="F1451" s="1249"/>
    </row>
    <row r="1452" spans="3:6" hidden="1">
      <c r="C1452" s="595">
        <v>41912</v>
      </c>
      <c r="D1452" s="974">
        <v>110.67</v>
      </c>
      <c r="E1452" s="895">
        <v>11973</v>
      </c>
      <c r="F1452" s="1249"/>
    </row>
    <row r="1453" spans="3:6" hidden="1">
      <c r="C1453" s="595">
        <v>41913</v>
      </c>
      <c r="D1453" s="974">
        <v>110.19</v>
      </c>
      <c r="E1453" s="895">
        <v>12020</v>
      </c>
      <c r="F1453" s="1249"/>
    </row>
    <row r="1454" spans="3:6" hidden="1">
      <c r="C1454" s="595">
        <v>41914</v>
      </c>
      <c r="D1454" s="974">
        <v>110.19</v>
      </c>
      <c r="E1454" s="895">
        <v>12020</v>
      </c>
      <c r="F1454" s="1249"/>
    </row>
    <row r="1455" spans="3:6" hidden="1">
      <c r="C1455" s="595">
        <v>41915</v>
      </c>
      <c r="D1455" s="974">
        <v>110.19</v>
      </c>
      <c r="E1455" s="895">
        <v>12020</v>
      </c>
      <c r="F1455" s="1249"/>
    </row>
    <row r="1456" spans="3:6" hidden="1">
      <c r="C1456" s="595">
        <v>41916</v>
      </c>
      <c r="D1456" s="974">
        <v>110.19</v>
      </c>
      <c r="E1456" s="895">
        <v>12020</v>
      </c>
      <c r="F1456" s="1249"/>
    </row>
    <row r="1457" spans="3:6" hidden="1">
      <c r="C1457" s="595">
        <v>41917</v>
      </c>
      <c r="D1457" s="974">
        <v>110.19</v>
      </c>
      <c r="E1457" s="895">
        <v>12020</v>
      </c>
      <c r="F1457" s="1249"/>
    </row>
    <row r="1458" spans="3:6" hidden="1">
      <c r="C1458" s="595">
        <v>41918</v>
      </c>
      <c r="D1458" s="974">
        <v>110.19</v>
      </c>
      <c r="E1458" s="895">
        <v>12020</v>
      </c>
      <c r="F1458" s="1249"/>
    </row>
    <row r="1459" spans="3:6" hidden="1">
      <c r="C1459" s="595">
        <v>41919</v>
      </c>
      <c r="D1459" s="974">
        <v>110.19</v>
      </c>
      <c r="E1459" s="895">
        <v>12020</v>
      </c>
      <c r="F1459" s="1249"/>
    </row>
    <row r="1460" spans="3:6" hidden="1">
      <c r="C1460" s="595">
        <v>41920</v>
      </c>
      <c r="D1460" s="974">
        <v>111.41</v>
      </c>
      <c r="E1460" s="895">
        <v>12172</v>
      </c>
      <c r="F1460" s="1249"/>
    </row>
    <row r="1461" spans="3:6" hidden="1">
      <c r="C1461" s="595">
        <v>41921</v>
      </c>
      <c r="D1461" s="974">
        <v>111.41</v>
      </c>
      <c r="E1461" s="895">
        <v>12172</v>
      </c>
      <c r="F1461" s="1249"/>
    </row>
    <row r="1462" spans="3:6" hidden="1">
      <c r="C1462" s="595">
        <v>41922</v>
      </c>
      <c r="D1462" s="974">
        <v>111.41</v>
      </c>
      <c r="E1462" s="895">
        <v>12172</v>
      </c>
      <c r="F1462" s="1249"/>
    </row>
    <row r="1463" spans="3:6" hidden="1">
      <c r="C1463" s="595">
        <v>41923</v>
      </c>
      <c r="D1463" s="974">
        <v>111.41</v>
      </c>
      <c r="E1463" s="895">
        <v>12172</v>
      </c>
      <c r="F1463" s="1249"/>
    </row>
    <row r="1464" spans="3:6" hidden="1">
      <c r="C1464" s="595">
        <v>41924</v>
      </c>
      <c r="D1464" s="974">
        <v>111.41</v>
      </c>
      <c r="E1464" s="895">
        <v>12172</v>
      </c>
      <c r="F1464" s="1249"/>
    </row>
    <row r="1465" spans="3:6" hidden="1">
      <c r="C1465" s="595">
        <v>41925</v>
      </c>
      <c r="D1465" s="974">
        <v>111.41</v>
      </c>
      <c r="E1465" s="895">
        <v>12172</v>
      </c>
      <c r="F1465" s="1249"/>
    </row>
    <row r="1466" spans="3:6" hidden="1">
      <c r="C1466" s="595">
        <v>41926</v>
      </c>
      <c r="D1466" s="974">
        <v>111.41</v>
      </c>
      <c r="E1466" s="895">
        <v>12172</v>
      </c>
      <c r="F1466" s="1249"/>
    </row>
    <row r="1467" spans="3:6" hidden="1">
      <c r="C1467" s="595">
        <v>41927</v>
      </c>
      <c r="D1467" s="974">
        <v>113.15</v>
      </c>
      <c r="E1467" s="895">
        <v>12210</v>
      </c>
      <c r="F1467" s="1249"/>
    </row>
    <row r="1468" spans="3:6" hidden="1">
      <c r="C1468" s="595">
        <v>41928</v>
      </c>
      <c r="D1468" s="974">
        <v>113.15</v>
      </c>
      <c r="E1468" s="895">
        <v>12210</v>
      </c>
      <c r="F1468" s="1249"/>
    </row>
    <row r="1469" spans="3:6" hidden="1">
      <c r="C1469" s="595">
        <v>41929</v>
      </c>
      <c r="D1469" s="974">
        <v>113.15</v>
      </c>
      <c r="E1469" s="895">
        <v>12210</v>
      </c>
      <c r="F1469" s="1249"/>
    </row>
    <row r="1470" spans="3:6" hidden="1">
      <c r="C1470" s="595">
        <v>41930</v>
      </c>
      <c r="D1470" s="974">
        <v>113.15</v>
      </c>
      <c r="E1470" s="895">
        <v>12210</v>
      </c>
      <c r="F1470" s="1249"/>
    </row>
    <row r="1471" spans="3:6" hidden="1">
      <c r="C1471" s="595">
        <v>41931</v>
      </c>
      <c r="D1471" s="974">
        <v>113.15</v>
      </c>
      <c r="E1471" s="895">
        <v>12210</v>
      </c>
      <c r="F1471" s="1249"/>
    </row>
    <row r="1472" spans="3:6" hidden="1">
      <c r="C1472" s="595">
        <v>41932</v>
      </c>
      <c r="D1472" s="974">
        <v>113.15</v>
      </c>
      <c r="E1472" s="895">
        <v>12210</v>
      </c>
      <c r="F1472" s="1249"/>
    </row>
    <row r="1473" spans="3:6" hidden="1">
      <c r="C1473" s="595">
        <v>41933</v>
      </c>
      <c r="D1473" s="974">
        <v>113.15</v>
      </c>
      <c r="E1473" s="895">
        <v>12210</v>
      </c>
      <c r="F1473" s="1249"/>
    </row>
    <row r="1474" spans="3:6" hidden="1">
      <c r="C1474" s="595">
        <v>41934</v>
      </c>
      <c r="D1474" s="974">
        <v>114.06</v>
      </c>
      <c r="E1474" s="895">
        <v>12168</v>
      </c>
      <c r="F1474" s="1249"/>
    </row>
    <row r="1475" spans="3:6" hidden="1">
      <c r="C1475" s="595">
        <v>41935</v>
      </c>
      <c r="D1475" s="974">
        <v>114.06</v>
      </c>
      <c r="E1475" s="895">
        <v>12168</v>
      </c>
      <c r="F1475" s="1249"/>
    </row>
    <row r="1476" spans="3:6" hidden="1">
      <c r="C1476" s="595">
        <v>41936</v>
      </c>
      <c r="D1476" s="974">
        <v>114.06</v>
      </c>
      <c r="E1476" s="895">
        <v>12168</v>
      </c>
      <c r="F1476" s="1249"/>
    </row>
    <row r="1477" spans="3:6" hidden="1">
      <c r="C1477" s="595">
        <v>41937</v>
      </c>
      <c r="D1477" s="974">
        <v>114.06</v>
      </c>
      <c r="E1477" s="895">
        <v>12168</v>
      </c>
      <c r="F1477" s="1249"/>
    </row>
    <row r="1478" spans="3:6" hidden="1">
      <c r="C1478" s="595">
        <v>41938</v>
      </c>
      <c r="D1478" s="974">
        <v>114.06</v>
      </c>
      <c r="E1478" s="895">
        <v>12168</v>
      </c>
      <c r="F1478" s="1249"/>
    </row>
    <row r="1479" spans="3:6" hidden="1">
      <c r="C1479" s="595">
        <v>41939</v>
      </c>
      <c r="D1479" s="974">
        <v>114.06</v>
      </c>
      <c r="E1479" s="895">
        <v>12168</v>
      </c>
      <c r="F1479" s="1249"/>
    </row>
    <row r="1480" spans="3:6" hidden="1">
      <c r="C1480" s="595">
        <v>41940</v>
      </c>
      <c r="D1480" s="974">
        <v>114.06</v>
      </c>
      <c r="E1480" s="895">
        <v>12168</v>
      </c>
      <c r="F1480" s="1249"/>
    </row>
    <row r="1481" spans="3:6" hidden="1">
      <c r="C1481" s="595">
        <v>41941</v>
      </c>
      <c r="D1481" s="974">
        <v>111.77</v>
      </c>
      <c r="E1481" s="895">
        <v>12038</v>
      </c>
      <c r="F1481" s="1249"/>
    </row>
    <row r="1482" spans="3:6" hidden="1">
      <c r="C1482" s="595">
        <v>41942</v>
      </c>
      <c r="D1482" s="974">
        <v>111.77</v>
      </c>
      <c r="E1482" s="895">
        <v>12038</v>
      </c>
      <c r="F1482" s="1249"/>
    </row>
    <row r="1483" spans="3:6" hidden="1">
      <c r="C1483" s="595">
        <v>41943</v>
      </c>
      <c r="D1483" s="974">
        <v>111.77</v>
      </c>
      <c r="E1483" s="895">
        <v>12038</v>
      </c>
      <c r="F1483" s="1249"/>
    </row>
    <row r="1484" spans="3:6" hidden="1">
      <c r="C1484" s="595">
        <v>41944</v>
      </c>
      <c r="D1484" s="974">
        <v>111.77</v>
      </c>
      <c r="E1484" s="895">
        <v>12038</v>
      </c>
      <c r="F1484" s="1249"/>
    </row>
    <row r="1485" spans="3:6" hidden="1">
      <c r="C1485" s="595">
        <v>41945</v>
      </c>
      <c r="D1485" s="974">
        <v>111.77</v>
      </c>
      <c r="E1485" s="895">
        <v>12038</v>
      </c>
      <c r="F1485" s="1249"/>
    </row>
    <row r="1486" spans="3:6" hidden="1">
      <c r="C1486" s="595">
        <v>41946</v>
      </c>
      <c r="D1486" s="974">
        <v>111.77</v>
      </c>
      <c r="E1486" s="895">
        <v>12038</v>
      </c>
      <c r="F1486" s="1249"/>
    </row>
    <row r="1487" spans="3:6" hidden="1">
      <c r="C1487" s="595">
        <v>41947</v>
      </c>
      <c r="D1487" s="974">
        <v>111.77</v>
      </c>
      <c r="E1487" s="895">
        <v>12038</v>
      </c>
      <c r="F1487" s="1249"/>
    </row>
    <row r="1488" spans="3:6" hidden="1">
      <c r="C1488" s="595">
        <v>41948</v>
      </c>
      <c r="D1488" s="974">
        <v>108.6</v>
      </c>
      <c r="E1488" s="895">
        <v>12109</v>
      </c>
      <c r="F1488" s="1249"/>
    </row>
    <row r="1489" spans="3:6" hidden="1">
      <c r="C1489" s="595">
        <v>41949</v>
      </c>
      <c r="D1489" s="974">
        <v>108.6</v>
      </c>
      <c r="E1489" s="895">
        <v>12109</v>
      </c>
      <c r="F1489" s="1249"/>
    </row>
    <row r="1490" spans="3:6" hidden="1">
      <c r="C1490" s="595">
        <v>41950</v>
      </c>
      <c r="D1490" s="974">
        <v>108.6</v>
      </c>
      <c r="E1490" s="895">
        <v>12109</v>
      </c>
      <c r="F1490" s="1249"/>
    </row>
    <row r="1491" spans="3:6" hidden="1">
      <c r="C1491" s="595">
        <v>41951</v>
      </c>
      <c r="D1491" s="974">
        <v>108.6</v>
      </c>
      <c r="E1491" s="895">
        <v>12109</v>
      </c>
      <c r="F1491" s="1249"/>
    </row>
    <row r="1492" spans="3:6" hidden="1">
      <c r="C1492" s="595">
        <v>41952</v>
      </c>
      <c r="D1492" s="974">
        <v>108.6</v>
      </c>
      <c r="E1492" s="895">
        <v>12109</v>
      </c>
      <c r="F1492" s="1249"/>
    </row>
    <row r="1493" spans="3:6" hidden="1">
      <c r="C1493" s="595">
        <v>41953</v>
      </c>
      <c r="D1493" s="974">
        <v>108.6</v>
      </c>
      <c r="E1493" s="895">
        <v>12109</v>
      </c>
      <c r="F1493" s="1249"/>
    </row>
    <row r="1494" spans="3:6" hidden="1">
      <c r="C1494" s="595">
        <v>41954</v>
      </c>
      <c r="D1494" s="974">
        <v>108.6</v>
      </c>
      <c r="E1494" s="895">
        <v>12109</v>
      </c>
      <c r="F1494" s="1249"/>
    </row>
    <row r="1495" spans="3:6" hidden="1">
      <c r="C1495" s="595">
        <v>41955</v>
      </c>
      <c r="D1495" s="974">
        <v>106.13</v>
      </c>
      <c r="E1495" s="895">
        <v>12148</v>
      </c>
      <c r="F1495" s="1249"/>
    </row>
    <row r="1496" spans="3:6" hidden="1">
      <c r="C1496" s="595">
        <v>41956</v>
      </c>
      <c r="D1496" s="974">
        <v>106.13</v>
      </c>
      <c r="E1496" s="895">
        <v>12148</v>
      </c>
      <c r="F1496" s="1249"/>
    </row>
    <row r="1497" spans="3:6" hidden="1">
      <c r="C1497" s="595">
        <v>41957</v>
      </c>
      <c r="D1497" s="974">
        <v>106.13</v>
      </c>
      <c r="E1497" s="895">
        <v>12148</v>
      </c>
      <c r="F1497" s="1249"/>
    </row>
    <row r="1498" spans="3:6" hidden="1">
      <c r="C1498" s="595">
        <v>41958</v>
      </c>
      <c r="D1498" s="974">
        <v>106.13</v>
      </c>
      <c r="E1498" s="895">
        <v>12148</v>
      </c>
      <c r="F1498" s="1249"/>
    </row>
    <row r="1499" spans="3:6" hidden="1">
      <c r="C1499" s="595">
        <v>41959</v>
      </c>
      <c r="D1499" s="974">
        <v>106.13</v>
      </c>
      <c r="E1499" s="895">
        <v>12148</v>
      </c>
      <c r="F1499" s="1249"/>
    </row>
    <row r="1500" spans="3:6" hidden="1">
      <c r="C1500" s="595">
        <v>41960</v>
      </c>
      <c r="D1500" s="974">
        <v>106.13</v>
      </c>
      <c r="E1500" s="895">
        <v>12148</v>
      </c>
      <c r="F1500" s="1249"/>
    </row>
    <row r="1501" spans="3:6" hidden="1">
      <c r="C1501" s="595">
        <v>41961</v>
      </c>
      <c r="D1501" s="974">
        <v>106.13</v>
      </c>
      <c r="E1501" s="895">
        <v>12148</v>
      </c>
      <c r="F1501" s="1249"/>
    </row>
    <row r="1502" spans="3:6" hidden="1">
      <c r="C1502" s="595">
        <v>41962</v>
      </c>
      <c r="D1502" s="974">
        <v>105.4</v>
      </c>
      <c r="E1502" s="895">
        <v>12206</v>
      </c>
      <c r="F1502" s="1249"/>
    </row>
    <row r="1503" spans="3:6" hidden="1">
      <c r="C1503" s="595">
        <v>41963</v>
      </c>
      <c r="D1503" s="974">
        <v>105.4</v>
      </c>
      <c r="E1503" s="895">
        <v>12206</v>
      </c>
      <c r="F1503" s="1249"/>
    </row>
    <row r="1504" spans="3:6" hidden="1">
      <c r="C1504" s="595">
        <v>41964</v>
      </c>
      <c r="D1504" s="974">
        <v>105.4</v>
      </c>
      <c r="E1504" s="895">
        <v>12206</v>
      </c>
      <c r="F1504" s="1249"/>
    </row>
    <row r="1505" spans="3:6" hidden="1">
      <c r="C1505" s="595">
        <v>41965</v>
      </c>
      <c r="D1505" s="974">
        <v>105.4</v>
      </c>
      <c r="E1505" s="895">
        <v>12206</v>
      </c>
      <c r="F1505" s="1249"/>
    </row>
    <row r="1506" spans="3:6" hidden="1">
      <c r="C1506" s="595">
        <v>41966</v>
      </c>
      <c r="D1506" s="974">
        <v>105.4</v>
      </c>
      <c r="E1506" s="895">
        <v>12206</v>
      </c>
      <c r="F1506" s="1249"/>
    </row>
    <row r="1507" spans="3:6" hidden="1">
      <c r="C1507" s="595">
        <v>41967</v>
      </c>
      <c r="D1507" s="974">
        <v>105.4</v>
      </c>
      <c r="E1507" s="895">
        <v>12206</v>
      </c>
      <c r="F1507" s="1249"/>
    </row>
    <row r="1508" spans="3:6" hidden="1">
      <c r="C1508" s="595">
        <v>41968</v>
      </c>
      <c r="D1508" s="974">
        <v>105.4</v>
      </c>
      <c r="E1508" s="895">
        <v>12206</v>
      </c>
      <c r="F1508" s="1249"/>
    </row>
    <row r="1509" spans="3:6" hidden="1">
      <c r="C1509" s="595">
        <v>41969</v>
      </c>
      <c r="D1509" s="974">
        <v>102.96</v>
      </c>
      <c r="E1509" s="895">
        <v>12158</v>
      </c>
      <c r="F1509" s="1249"/>
    </row>
    <row r="1510" spans="3:6" hidden="1">
      <c r="C1510" s="595">
        <v>41970</v>
      </c>
      <c r="D1510" s="974">
        <v>102.96</v>
      </c>
      <c r="E1510" s="895">
        <v>12158</v>
      </c>
      <c r="F1510" s="1249"/>
    </row>
    <row r="1511" spans="3:6" hidden="1">
      <c r="C1511" s="595">
        <v>41971</v>
      </c>
      <c r="D1511" s="974">
        <v>102.96</v>
      </c>
      <c r="E1511" s="895">
        <v>12158</v>
      </c>
      <c r="F1511" s="1249"/>
    </row>
    <row r="1512" spans="3:6" hidden="1">
      <c r="C1512" s="595">
        <v>41972</v>
      </c>
      <c r="D1512" s="974">
        <v>102.96</v>
      </c>
      <c r="E1512" s="895">
        <v>12158</v>
      </c>
      <c r="F1512" s="1249"/>
    </row>
    <row r="1513" spans="3:6" hidden="1">
      <c r="C1513" s="595">
        <v>41973</v>
      </c>
      <c r="D1513" s="974">
        <v>102.96</v>
      </c>
      <c r="E1513" s="895">
        <v>12158</v>
      </c>
      <c r="F1513" s="1249"/>
    </row>
    <row r="1514" spans="3:6" hidden="1">
      <c r="C1514" s="595">
        <v>41974</v>
      </c>
      <c r="D1514" s="974">
        <v>102.96</v>
      </c>
      <c r="E1514" s="895">
        <v>12158</v>
      </c>
      <c r="F1514" s="1249"/>
    </row>
    <row r="1515" spans="3:6" hidden="1">
      <c r="C1515" s="595">
        <v>41975</v>
      </c>
      <c r="D1515" s="974">
        <v>102.96</v>
      </c>
      <c r="E1515" s="895">
        <v>12158</v>
      </c>
      <c r="F1515" s="1249"/>
    </row>
    <row r="1516" spans="3:6" hidden="1">
      <c r="C1516" s="595">
        <v>41976</v>
      </c>
      <c r="D1516" s="974">
        <v>103.32</v>
      </c>
      <c r="E1516" s="895">
        <v>12200</v>
      </c>
      <c r="F1516" s="1249"/>
    </row>
    <row r="1517" spans="3:6" hidden="1">
      <c r="C1517" s="595">
        <v>41977</v>
      </c>
      <c r="D1517" s="974">
        <v>103.32</v>
      </c>
      <c r="E1517" s="895">
        <v>12200</v>
      </c>
      <c r="F1517" s="1249"/>
    </row>
    <row r="1518" spans="3:6" hidden="1">
      <c r="C1518" s="595">
        <v>41978</v>
      </c>
      <c r="D1518" s="974">
        <v>103.32</v>
      </c>
      <c r="E1518" s="895">
        <v>12200</v>
      </c>
      <c r="F1518" s="1249"/>
    </row>
    <row r="1519" spans="3:6" hidden="1">
      <c r="C1519" s="595">
        <v>41979</v>
      </c>
      <c r="D1519" s="974">
        <v>103.32</v>
      </c>
      <c r="E1519" s="895">
        <v>12200</v>
      </c>
      <c r="F1519" s="1249"/>
    </row>
    <row r="1520" spans="3:6" hidden="1">
      <c r="C1520" s="595">
        <v>41980</v>
      </c>
      <c r="D1520" s="974">
        <v>103.32</v>
      </c>
      <c r="E1520" s="895">
        <v>12200</v>
      </c>
      <c r="F1520" s="1249"/>
    </row>
    <row r="1521" spans="3:6" hidden="1">
      <c r="C1521" s="595">
        <v>41981</v>
      </c>
      <c r="D1521" s="974">
        <v>103.32</v>
      </c>
      <c r="E1521" s="895">
        <v>12200</v>
      </c>
      <c r="F1521" s="1249"/>
    </row>
    <row r="1522" spans="3:6" hidden="1">
      <c r="C1522" s="595">
        <v>41982</v>
      </c>
      <c r="D1522" s="974">
        <v>103.32</v>
      </c>
      <c r="E1522" s="895">
        <v>12200</v>
      </c>
      <c r="F1522" s="1249"/>
    </row>
    <row r="1523" spans="3:6" hidden="1">
      <c r="C1523" s="595">
        <v>41983</v>
      </c>
      <c r="D1523" s="974">
        <v>102.24</v>
      </c>
      <c r="E1523" s="895">
        <v>12306</v>
      </c>
      <c r="F1523" s="1249"/>
    </row>
    <row r="1524" spans="3:6" hidden="1">
      <c r="C1524" s="595">
        <v>41984</v>
      </c>
      <c r="D1524" s="974">
        <v>102.24</v>
      </c>
      <c r="E1524" s="895">
        <v>12306</v>
      </c>
      <c r="F1524" s="1249"/>
    </row>
    <row r="1525" spans="3:6" hidden="1">
      <c r="C1525" s="595">
        <v>41985</v>
      </c>
      <c r="D1525" s="974">
        <v>102.24</v>
      </c>
      <c r="E1525" s="895">
        <v>12306</v>
      </c>
      <c r="F1525" s="1249"/>
    </row>
    <row r="1526" spans="3:6" hidden="1">
      <c r="C1526" s="595">
        <v>41986</v>
      </c>
      <c r="D1526" s="974">
        <v>102.24</v>
      </c>
      <c r="E1526" s="895">
        <v>12306</v>
      </c>
      <c r="F1526" s="1249"/>
    </row>
    <row r="1527" spans="3:6" hidden="1">
      <c r="C1527" s="595">
        <v>41987</v>
      </c>
      <c r="D1527" s="974">
        <v>102.24</v>
      </c>
      <c r="E1527" s="895">
        <v>12306</v>
      </c>
      <c r="F1527" s="1249"/>
    </row>
    <row r="1528" spans="3:6" hidden="1">
      <c r="C1528" s="595">
        <v>41988</v>
      </c>
      <c r="D1528" s="974">
        <v>102.24</v>
      </c>
      <c r="E1528" s="895">
        <v>12306</v>
      </c>
      <c r="F1528" s="1249"/>
    </row>
    <row r="1529" spans="3:6" hidden="1">
      <c r="C1529" s="595">
        <v>41989</v>
      </c>
      <c r="D1529" s="974">
        <v>102.24</v>
      </c>
      <c r="E1529" s="895">
        <v>12306</v>
      </c>
      <c r="F1529" s="1249"/>
    </row>
    <row r="1530" spans="3:6" hidden="1">
      <c r="C1530" s="595">
        <v>41990</v>
      </c>
      <c r="D1530" s="974">
        <v>104.62</v>
      </c>
      <c r="E1530" s="895">
        <v>12423</v>
      </c>
      <c r="F1530" s="1249"/>
    </row>
    <row r="1531" spans="3:6" hidden="1">
      <c r="C1531" s="595">
        <v>41991</v>
      </c>
      <c r="D1531" s="974">
        <v>104.62</v>
      </c>
      <c r="E1531" s="895">
        <v>12423</v>
      </c>
      <c r="F1531" s="1249"/>
    </row>
    <row r="1532" spans="3:6" hidden="1">
      <c r="C1532" s="595">
        <v>41992</v>
      </c>
      <c r="D1532" s="974">
        <v>104.62</v>
      </c>
      <c r="E1532" s="895">
        <v>12423</v>
      </c>
      <c r="F1532" s="1249"/>
    </row>
    <row r="1533" spans="3:6" hidden="1">
      <c r="C1533" s="595">
        <v>41993</v>
      </c>
      <c r="D1533" s="974">
        <v>104.62</v>
      </c>
      <c r="E1533" s="895">
        <v>12423</v>
      </c>
      <c r="F1533" s="1249"/>
    </row>
    <row r="1534" spans="3:6" hidden="1">
      <c r="C1534" s="595">
        <v>41994</v>
      </c>
      <c r="D1534" s="974">
        <v>104.62</v>
      </c>
      <c r="E1534" s="895">
        <v>12423</v>
      </c>
      <c r="F1534" s="1249"/>
    </row>
    <row r="1535" spans="3:6" hidden="1">
      <c r="C1535" s="595">
        <v>41995</v>
      </c>
      <c r="D1535" s="974">
        <v>104.62</v>
      </c>
      <c r="E1535" s="895">
        <v>12423</v>
      </c>
      <c r="F1535" s="1249"/>
    </row>
    <row r="1536" spans="3:6" hidden="1">
      <c r="C1536" s="595">
        <v>41996</v>
      </c>
      <c r="D1536" s="974">
        <v>104.62</v>
      </c>
      <c r="E1536" s="895">
        <v>12423</v>
      </c>
      <c r="F1536" s="1249"/>
    </row>
    <row r="1537" spans="3:6" hidden="1">
      <c r="C1537" s="595">
        <v>41997</v>
      </c>
      <c r="D1537" s="974">
        <v>106</v>
      </c>
      <c r="E1537" s="895">
        <v>12578</v>
      </c>
      <c r="F1537" s="1249"/>
    </row>
    <row r="1538" spans="3:6" hidden="1">
      <c r="C1538" s="595">
        <v>41998</v>
      </c>
      <c r="D1538" s="974">
        <v>106</v>
      </c>
      <c r="E1538" s="895">
        <v>12578</v>
      </c>
      <c r="F1538" s="1249"/>
    </row>
    <row r="1539" spans="3:6" hidden="1">
      <c r="C1539" s="595">
        <v>41999</v>
      </c>
      <c r="D1539" s="974">
        <v>106</v>
      </c>
      <c r="E1539" s="895">
        <v>12578</v>
      </c>
      <c r="F1539" s="1249"/>
    </row>
    <row r="1540" spans="3:6" hidden="1">
      <c r="C1540" s="595">
        <v>42000</v>
      </c>
      <c r="D1540" s="974">
        <v>106</v>
      </c>
      <c r="E1540" s="895">
        <v>12578</v>
      </c>
      <c r="F1540" s="1249"/>
    </row>
    <row r="1541" spans="3:6" hidden="1">
      <c r="C1541" s="595">
        <v>42001</v>
      </c>
      <c r="D1541" s="974">
        <v>106</v>
      </c>
      <c r="E1541" s="895">
        <v>12578</v>
      </c>
      <c r="F1541" s="1249"/>
    </row>
    <row r="1542" spans="3:6" hidden="1">
      <c r="C1542" s="595">
        <v>42002</v>
      </c>
      <c r="D1542" s="974">
        <v>106</v>
      </c>
      <c r="E1542" s="895">
        <v>12578</v>
      </c>
      <c r="F1542" s="1249"/>
    </row>
    <row r="1543" spans="3:6" hidden="1">
      <c r="C1543" s="595">
        <v>42003</v>
      </c>
      <c r="D1543" s="974">
        <v>106</v>
      </c>
      <c r="E1543" s="895">
        <v>12578</v>
      </c>
      <c r="F1543" s="1249"/>
    </row>
    <row r="1544" spans="3:6" hidden="1">
      <c r="C1544" s="595">
        <v>42004</v>
      </c>
      <c r="D1544" s="974">
        <v>103.34</v>
      </c>
      <c r="E1544" s="895">
        <v>12441</v>
      </c>
      <c r="F1544" s="1249"/>
    </row>
    <row r="1545" spans="1:6">
      <c r="A1545" s="1247" t="s">
        <v>1378</v>
      </c>
      <c r="C1545" s="891"/>
      <c r="D1545" s="974"/>
      <c r="E1545" s="895"/>
      <c r="F1545" s="1249"/>
    </row>
    <row r="1546" spans="3:6" hidden="1">
      <c r="C1546" s="595">
        <v>42005</v>
      </c>
      <c r="D1546" s="974">
        <v>103.34</v>
      </c>
      <c r="E1546" s="895">
        <v>12441</v>
      </c>
      <c r="F1546" s="1249"/>
    </row>
    <row r="1547" spans="3:6" hidden="1">
      <c r="C1547" s="595">
        <v>42006</v>
      </c>
      <c r="D1547" s="974">
        <v>103.34</v>
      </c>
      <c r="E1547" s="895">
        <v>12441</v>
      </c>
      <c r="F1547" s="1249"/>
    </row>
    <row r="1548" spans="3:6" hidden="1">
      <c r="C1548" s="595">
        <v>42007</v>
      </c>
      <c r="D1548" s="974">
        <v>103.34</v>
      </c>
      <c r="E1548" s="895">
        <v>12441</v>
      </c>
      <c r="F1548" s="1249"/>
    </row>
    <row r="1549" spans="3:6" hidden="1">
      <c r="C1549" s="595">
        <v>42008</v>
      </c>
      <c r="D1549" s="974">
        <v>103.34</v>
      </c>
      <c r="E1549" s="895">
        <v>12441</v>
      </c>
      <c r="F1549" s="1249"/>
    </row>
    <row r="1550" spans="3:6" hidden="1">
      <c r="C1550" s="595">
        <v>42009</v>
      </c>
      <c r="D1550" s="974">
        <v>103.34</v>
      </c>
      <c r="E1550" s="895">
        <v>12441</v>
      </c>
      <c r="F1550" s="1249"/>
    </row>
    <row r="1551" spans="3:6" hidden="1">
      <c r="C1551" s="595">
        <v>42010</v>
      </c>
      <c r="D1551" s="974">
        <v>103.34</v>
      </c>
      <c r="E1551" s="895">
        <v>12441</v>
      </c>
      <c r="F1551" s="1249"/>
    </row>
    <row r="1552" spans="3:6" hidden="1">
      <c r="C1552" s="595">
        <v>42011</v>
      </c>
      <c r="D1552" s="974">
        <v>104.24</v>
      </c>
      <c r="E1552" s="895">
        <v>12510</v>
      </c>
      <c r="F1552" s="1249"/>
    </row>
    <row r="1553" spans="3:6" hidden="1">
      <c r="C1553" s="595">
        <v>42012</v>
      </c>
      <c r="D1553" s="974">
        <v>104.24</v>
      </c>
      <c r="E1553" s="895">
        <v>12510</v>
      </c>
      <c r="F1553" s="1249"/>
    </row>
    <row r="1554" spans="3:6" hidden="1">
      <c r="C1554" s="595">
        <v>42013</v>
      </c>
      <c r="D1554" s="974">
        <v>104.24</v>
      </c>
      <c r="E1554" s="895">
        <v>12510</v>
      </c>
      <c r="F1554" s="1249"/>
    </row>
    <row r="1555" spans="3:6" hidden="1">
      <c r="C1555" s="595">
        <v>42014</v>
      </c>
      <c r="D1555" s="974">
        <v>104.24</v>
      </c>
      <c r="E1555" s="895">
        <v>12510</v>
      </c>
      <c r="F1555" s="1249"/>
    </row>
    <row r="1556" spans="3:6" hidden="1">
      <c r="C1556" s="595">
        <v>42015</v>
      </c>
      <c r="D1556" s="974">
        <v>104.24</v>
      </c>
      <c r="E1556" s="895">
        <v>12510</v>
      </c>
      <c r="F1556" s="1249"/>
    </row>
    <row r="1557" spans="3:6" hidden="1">
      <c r="C1557" s="595">
        <v>42016</v>
      </c>
      <c r="D1557" s="974">
        <v>104.24</v>
      </c>
      <c r="E1557" s="895">
        <v>12510</v>
      </c>
      <c r="F1557" s="1249"/>
    </row>
    <row r="1558" spans="3:6" hidden="1">
      <c r="C1558" s="595">
        <v>42017</v>
      </c>
      <c r="D1558" s="974">
        <v>104.24</v>
      </c>
      <c r="E1558" s="895">
        <v>12510</v>
      </c>
      <c r="F1558" s="1249"/>
    </row>
    <row r="1559" spans="3:6" hidden="1">
      <c r="C1559" s="595">
        <v>42018</v>
      </c>
      <c r="D1559" s="974">
        <v>106.46</v>
      </c>
      <c r="E1559" s="895">
        <v>12653</v>
      </c>
      <c r="F1559" s="1249"/>
    </row>
    <row r="1560" spans="3:6" hidden="1">
      <c r="C1560" s="595">
        <v>42019</v>
      </c>
      <c r="D1560" s="974">
        <v>106.46</v>
      </c>
      <c r="E1560" s="895">
        <v>12653</v>
      </c>
      <c r="F1560" s="1249"/>
    </row>
    <row r="1561" spans="3:6" hidden="1">
      <c r="C1561" s="595">
        <v>42020</v>
      </c>
      <c r="D1561" s="974">
        <v>106.46</v>
      </c>
      <c r="E1561" s="895">
        <v>12653</v>
      </c>
      <c r="F1561" s="1249"/>
    </row>
    <row r="1562" spans="3:6" hidden="1">
      <c r="C1562" s="595">
        <v>42021</v>
      </c>
      <c r="D1562" s="974">
        <v>106.46</v>
      </c>
      <c r="E1562" s="895">
        <v>12653</v>
      </c>
      <c r="F1562" s="1249"/>
    </row>
    <row r="1563" spans="3:6" hidden="1">
      <c r="C1563" s="595">
        <v>42022</v>
      </c>
      <c r="D1563" s="974">
        <v>106.46</v>
      </c>
      <c r="E1563" s="895">
        <v>12653</v>
      </c>
      <c r="F1563" s="1249"/>
    </row>
    <row r="1564" spans="3:6" hidden="1">
      <c r="C1564" s="595">
        <v>42023</v>
      </c>
      <c r="D1564" s="974">
        <v>106.46</v>
      </c>
      <c r="E1564" s="895">
        <v>12653</v>
      </c>
      <c r="F1564" s="1249"/>
    </row>
    <row r="1565" spans="3:6" hidden="1">
      <c r="C1565" s="595">
        <v>42024</v>
      </c>
      <c r="D1565" s="974">
        <v>106.46</v>
      </c>
      <c r="E1565" s="895">
        <v>12653</v>
      </c>
      <c r="F1565" s="1249"/>
    </row>
    <row r="1566" spans="3:6" hidden="1">
      <c r="C1566" s="595">
        <v>42025</v>
      </c>
      <c r="D1566" s="974">
        <v>107.42</v>
      </c>
      <c r="E1566" s="895">
        <v>12593</v>
      </c>
      <c r="F1566" s="1249"/>
    </row>
    <row r="1567" spans="3:6" hidden="1">
      <c r="C1567" s="595">
        <v>42026</v>
      </c>
      <c r="D1567" s="974">
        <v>107.42</v>
      </c>
      <c r="E1567" s="895">
        <v>12593</v>
      </c>
      <c r="F1567" s="1249"/>
    </row>
    <row r="1568" spans="3:6" hidden="1">
      <c r="C1568" s="595">
        <v>42027</v>
      </c>
      <c r="D1568" s="974">
        <v>107.42</v>
      </c>
      <c r="E1568" s="895">
        <v>12593</v>
      </c>
      <c r="F1568" s="1249"/>
    </row>
    <row r="1569" spans="3:6" hidden="1">
      <c r="C1569" s="595">
        <v>42028</v>
      </c>
      <c r="D1569" s="974">
        <v>107.42</v>
      </c>
      <c r="E1569" s="895">
        <v>12593</v>
      </c>
      <c r="F1569" s="1249"/>
    </row>
    <row r="1570" spans="3:6" hidden="1">
      <c r="C1570" s="595">
        <v>42029</v>
      </c>
      <c r="D1570" s="974">
        <v>107.42</v>
      </c>
      <c r="E1570" s="895">
        <v>12593</v>
      </c>
      <c r="F1570" s="1249"/>
    </row>
    <row r="1571" spans="3:6" hidden="1">
      <c r="C1571" s="595">
        <v>42030</v>
      </c>
      <c r="D1571" s="974">
        <v>107.42</v>
      </c>
      <c r="E1571" s="895">
        <v>12593</v>
      </c>
      <c r="F1571" s="1249"/>
    </row>
    <row r="1572" spans="3:6" hidden="1">
      <c r="C1572" s="595">
        <v>42031</v>
      </c>
      <c r="D1572" s="974">
        <v>107.42</v>
      </c>
      <c r="E1572" s="895">
        <v>12593</v>
      </c>
      <c r="F1572" s="1249"/>
    </row>
    <row r="1573" spans="3:6" hidden="1">
      <c r="C1573" s="595">
        <v>42032</v>
      </c>
      <c r="D1573" s="974">
        <v>105.71</v>
      </c>
      <c r="E1573" s="895">
        <v>12502</v>
      </c>
      <c r="F1573" s="1249"/>
    </row>
    <row r="1574" spans="3:6" hidden="1">
      <c r="C1574" s="595">
        <v>42033</v>
      </c>
      <c r="D1574" s="974">
        <v>105.71</v>
      </c>
      <c r="E1574" s="895">
        <v>12502</v>
      </c>
      <c r="F1574" s="1249"/>
    </row>
    <row r="1575" spans="3:6" hidden="1">
      <c r="C1575" s="595">
        <v>42034</v>
      </c>
      <c r="D1575" s="974">
        <v>105.71</v>
      </c>
      <c r="E1575" s="895">
        <v>12502</v>
      </c>
      <c r="F1575" s="1249"/>
    </row>
    <row r="1576" spans="3:6" hidden="1">
      <c r="C1576" s="595">
        <v>42035</v>
      </c>
      <c r="D1576" s="974">
        <v>105.71</v>
      </c>
      <c r="E1576" s="895">
        <v>12502</v>
      </c>
      <c r="F1576" s="1249"/>
    </row>
    <row r="1577" spans="3:6" hidden="1">
      <c r="C1577" s="595">
        <v>42036</v>
      </c>
      <c r="D1577" s="974">
        <v>105.71</v>
      </c>
      <c r="E1577" s="895">
        <v>12502</v>
      </c>
      <c r="F1577" s="1249"/>
    </row>
    <row r="1578" spans="3:6" hidden="1">
      <c r="C1578" s="595">
        <v>42037</v>
      </c>
      <c r="D1578" s="974">
        <v>105.71</v>
      </c>
      <c r="E1578" s="895">
        <v>12502</v>
      </c>
      <c r="F1578" s="1249"/>
    </row>
    <row r="1579" spans="3:6" hidden="1">
      <c r="C1579" s="595">
        <v>42038</v>
      </c>
      <c r="D1579" s="974">
        <v>105.71</v>
      </c>
      <c r="E1579" s="895">
        <v>12502</v>
      </c>
      <c r="F1579" s="1249"/>
    </row>
    <row r="1580" spans="3:6" hidden="1">
      <c r="C1580" s="595">
        <v>42039</v>
      </c>
      <c r="D1580" s="974">
        <v>106.78</v>
      </c>
      <c r="E1580" s="895">
        <v>12582</v>
      </c>
      <c r="F1580" s="1249"/>
    </row>
    <row r="1581" spans="3:6" hidden="1">
      <c r="C1581" s="595">
        <v>42040</v>
      </c>
      <c r="D1581" s="974">
        <v>106.78</v>
      </c>
      <c r="E1581" s="895">
        <v>12582</v>
      </c>
      <c r="F1581" s="1249"/>
    </row>
    <row r="1582" spans="3:6" hidden="1">
      <c r="C1582" s="595">
        <v>42041</v>
      </c>
      <c r="D1582" s="974">
        <v>106.78</v>
      </c>
      <c r="E1582" s="895">
        <v>12582</v>
      </c>
      <c r="F1582" s="1249"/>
    </row>
    <row r="1583" spans="3:6" hidden="1">
      <c r="C1583" s="595">
        <v>42042</v>
      </c>
      <c r="D1583" s="974">
        <v>106.78</v>
      </c>
      <c r="E1583" s="895">
        <v>12582</v>
      </c>
      <c r="F1583" s="1249"/>
    </row>
    <row r="1584" spans="3:6" hidden="1">
      <c r="C1584" s="595">
        <v>42043</v>
      </c>
      <c r="D1584" s="974">
        <v>106.78</v>
      </c>
      <c r="E1584" s="895">
        <v>12582</v>
      </c>
      <c r="F1584" s="1249"/>
    </row>
    <row r="1585" spans="3:6" hidden="1">
      <c r="C1585" s="595">
        <v>42044</v>
      </c>
      <c r="D1585" s="974">
        <v>106.78</v>
      </c>
      <c r="E1585" s="895">
        <v>12582</v>
      </c>
      <c r="F1585" s="1249"/>
    </row>
    <row r="1586" spans="3:6" hidden="1">
      <c r="C1586" s="595">
        <v>42045</v>
      </c>
      <c r="D1586" s="974">
        <v>106.78</v>
      </c>
      <c r="E1586" s="895">
        <v>12582</v>
      </c>
      <c r="F1586" s="1249"/>
    </row>
    <row r="1587" spans="3:6" hidden="1">
      <c r="C1587" s="595">
        <v>42046</v>
      </c>
      <c r="D1587" s="974">
        <v>106.92</v>
      </c>
      <c r="E1587" s="895">
        <v>12638</v>
      </c>
      <c r="F1587" s="1249"/>
    </row>
    <row r="1588" spans="3:6" hidden="1">
      <c r="C1588" s="595">
        <v>42047</v>
      </c>
      <c r="D1588" s="974">
        <v>106.92</v>
      </c>
      <c r="E1588" s="895">
        <v>12638</v>
      </c>
      <c r="F1588" s="1249"/>
    </row>
    <row r="1589" spans="3:6" hidden="1">
      <c r="C1589" s="595">
        <v>42048</v>
      </c>
      <c r="D1589" s="974">
        <v>106.92</v>
      </c>
      <c r="E1589" s="895">
        <v>12638</v>
      </c>
      <c r="F1589" s="1249"/>
    </row>
    <row r="1590" spans="3:6" hidden="1">
      <c r="C1590" s="595">
        <v>42049</v>
      </c>
      <c r="D1590" s="974">
        <v>106.92</v>
      </c>
      <c r="E1590" s="895">
        <v>12638</v>
      </c>
      <c r="F1590" s="1249"/>
    </row>
    <row r="1591" spans="3:6" hidden="1">
      <c r="C1591" s="595">
        <v>42050</v>
      </c>
      <c r="D1591" s="974">
        <v>106.92</v>
      </c>
      <c r="E1591" s="895">
        <v>12638</v>
      </c>
      <c r="F1591" s="1249"/>
    </row>
    <row r="1592" spans="3:6" hidden="1">
      <c r="C1592" s="595">
        <v>42051</v>
      </c>
      <c r="D1592" s="974">
        <v>106.92</v>
      </c>
      <c r="E1592" s="895">
        <v>12638</v>
      </c>
      <c r="F1592" s="1249"/>
    </row>
    <row r="1593" spans="3:6" hidden="1">
      <c r="C1593" s="595">
        <v>42052</v>
      </c>
      <c r="D1593" s="974">
        <v>106.92</v>
      </c>
      <c r="E1593" s="895">
        <v>12638</v>
      </c>
      <c r="F1593" s="1249"/>
    </row>
    <row r="1594" spans="3:6" hidden="1">
      <c r="C1594" s="595">
        <v>42053</v>
      </c>
      <c r="D1594" s="974">
        <v>106.88</v>
      </c>
      <c r="E1594" s="895">
        <v>12748</v>
      </c>
      <c r="F1594" s="1249"/>
    </row>
    <row r="1595" spans="3:6" hidden="1">
      <c r="C1595" s="595">
        <v>42054</v>
      </c>
      <c r="D1595" s="974">
        <v>106.88</v>
      </c>
      <c r="E1595" s="895">
        <v>12748</v>
      </c>
      <c r="F1595" s="1249"/>
    </row>
    <row r="1596" spans="3:6" hidden="1">
      <c r="C1596" s="595">
        <v>42055</v>
      </c>
      <c r="D1596" s="974">
        <v>106.88</v>
      </c>
      <c r="E1596" s="895">
        <v>12748</v>
      </c>
      <c r="F1596" s="1249"/>
    </row>
    <row r="1597" spans="3:6" hidden="1">
      <c r="C1597" s="595">
        <v>42056</v>
      </c>
      <c r="D1597" s="974">
        <v>106.88</v>
      </c>
      <c r="E1597" s="895">
        <v>12748</v>
      </c>
      <c r="F1597" s="1249"/>
    </row>
    <row r="1598" spans="3:6" hidden="1">
      <c r="C1598" s="595">
        <v>42057</v>
      </c>
      <c r="D1598" s="974">
        <v>106.88</v>
      </c>
      <c r="E1598" s="895">
        <v>12748</v>
      </c>
      <c r="F1598" s="1249"/>
    </row>
    <row r="1599" spans="3:6" hidden="1">
      <c r="C1599" s="595">
        <v>42058</v>
      </c>
      <c r="D1599" s="974">
        <v>106.88</v>
      </c>
      <c r="E1599" s="895">
        <v>12748</v>
      </c>
      <c r="F1599" s="1249"/>
    </row>
    <row r="1600" spans="3:6" hidden="1">
      <c r="C1600" s="595">
        <v>42059</v>
      </c>
      <c r="D1600" s="974">
        <v>106.88</v>
      </c>
      <c r="E1600" s="895">
        <v>12748</v>
      </c>
      <c r="F1600" s="1249"/>
    </row>
    <row r="1601" spans="3:6" hidden="1">
      <c r="C1601" s="595">
        <v>42060</v>
      </c>
      <c r="D1601" s="974">
        <v>107.73</v>
      </c>
      <c r="E1601" s="895">
        <v>12821</v>
      </c>
      <c r="F1601" s="1249"/>
    </row>
    <row r="1602" spans="3:6" hidden="1">
      <c r="C1602" s="595">
        <v>42061</v>
      </c>
      <c r="D1602" s="974">
        <v>107.73</v>
      </c>
      <c r="E1602" s="895">
        <v>12821</v>
      </c>
      <c r="F1602" s="1249"/>
    </row>
    <row r="1603" spans="3:6" hidden="1">
      <c r="C1603" s="595">
        <v>42062</v>
      </c>
      <c r="D1603" s="974">
        <v>107.73</v>
      </c>
      <c r="E1603" s="895">
        <v>12821</v>
      </c>
      <c r="F1603" s="1249"/>
    </row>
    <row r="1604" spans="3:6" hidden="1">
      <c r="C1604" s="595">
        <v>42063</v>
      </c>
      <c r="D1604" s="974">
        <v>107.73</v>
      </c>
      <c r="E1604" s="895">
        <v>12821</v>
      </c>
      <c r="F1604" s="1249"/>
    </row>
    <row r="1605" spans="3:6" hidden="1">
      <c r="C1605" s="595">
        <v>42064</v>
      </c>
      <c r="D1605" s="974">
        <v>107.73</v>
      </c>
      <c r="E1605" s="895">
        <v>12821</v>
      </c>
      <c r="F1605" s="1249"/>
    </row>
    <row r="1606" spans="3:6" hidden="1">
      <c r="C1606" s="595">
        <v>42065</v>
      </c>
      <c r="D1606" s="974">
        <v>107.73</v>
      </c>
      <c r="E1606" s="895">
        <v>12821</v>
      </c>
      <c r="F1606" s="1249"/>
    </row>
    <row r="1607" spans="3:6" hidden="1">
      <c r="C1607" s="595">
        <v>42066</v>
      </c>
      <c r="D1607" s="974">
        <v>107.73</v>
      </c>
      <c r="E1607" s="895">
        <v>12821</v>
      </c>
      <c r="F1607" s="1249"/>
    </row>
    <row r="1608" spans="3:6" hidden="1">
      <c r="C1608" s="595">
        <v>42067</v>
      </c>
      <c r="D1608" s="980">
        <v>108.14</v>
      </c>
      <c r="E1608" s="896">
        <v>12907</v>
      </c>
      <c r="F1608" s="1249"/>
    </row>
    <row r="1609" spans="3:6" hidden="1">
      <c r="C1609" s="595">
        <v>42068</v>
      </c>
      <c r="D1609" s="980">
        <v>108.14</v>
      </c>
      <c r="E1609" s="896">
        <v>12907</v>
      </c>
      <c r="F1609" s="1249"/>
    </row>
    <row r="1610" spans="3:6" hidden="1">
      <c r="C1610" s="595">
        <v>42069</v>
      </c>
      <c r="D1610" s="980">
        <v>108.14</v>
      </c>
      <c r="E1610" s="896">
        <v>12907</v>
      </c>
      <c r="F1610" s="1249"/>
    </row>
    <row r="1611" spans="3:6" hidden="1">
      <c r="C1611" s="595">
        <v>42070</v>
      </c>
      <c r="D1611" s="980">
        <v>108.14</v>
      </c>
      <c r="E1611" s="896">
        <v>12907</v>
      </c>
      <c r="F1611" s="1249"/>
    </row>
    <row r="1612" spans="3:6" hidden="1">
      <c r="C1612" s="595">
        <v>42071</v>
      </c>
      <c r="D1612" s="980">
        <v>108.14</v>
      </c>
      <c r="E1612" s="896">
        <v>12907</v>
      </c>
      <c r="F1612" s="1249"/>
    </row>
    <row r="1613" spans="3:6" hidden="1">
      <c r="C1613" s="595">
        <v>42072</v>
      </c>
      <c r="D1613" s="980">
        <v>108.14</v>
      </c>
      <c r="E1613" s="896">
        <v>12907</v>
      </c>
      <c r="F1613" s="1249"/>
    </row>
    <row r="1614" spans="3:6" hidden="1">
      <c r="C1614" s="595">
        <v>42073</v>
      </c>
      <c r="D1614" s="980">
        <v>108.14</v>
      </c>
      <c r="E1614" s="896">
        <v>12907</v>
      </c>
      <c r="F1614" s="1249"/>
    </row>
    <row r="1615" spans="3:6" hidden="1">
      <c r="C1615" s="595">
        <v>42074</v>
      </c>
      <c r="D1615" s="980">
        <v>108.05</v>
      </c>
      <c r="E1615" s="896">
        <v>12998</v>
      </c>
      <c r="F1615" s="1249"/>
    </row>
    <row r="1616" spans="3:6" hidden="1">
      <c r="C1616" s="595">
        <v>42075</v>
      </c>
      <c r="D1616" s="980">
        <v>108.05</v>
      </c>
      <c r="E1616" s="896">
        <v>12998</v>
      </c>
      <c r="F1616" s="1249"/>
    </row>
    <row r="1617" spans="3:6" hidden="1">
      <c r="C1617" s="595">
        <v>42076</v>
      </c>
      <c r="D1617" s="980">
        <v>108.05</v>
      </c>
      <c r="E1617" s="896">
        <v>12998</v>
      </c>
      <c r="F1617" s="1249"/>
    </row>
    <row r="1618" spans="3:6" hidden="1">
      <c r="C1618" s="595">
        <v>42077</v>
      </c>
      <c r="D1618" s="980">
        <v>108.05</v>
      </c>
      <c r="E1618" s="896">
        <v>12998</v>
      </c>
      <c r="F1618" s="1249"/>
    </row>
    <row r="1619" spans="3:6" hidden="1">
      <c r="C1619" s="595">
        <v>42078</v>
      </c>
      <c r="D1619" s="980">
        <v>108.05</v>
      </c>
      <c r="E1619" s="896">
        <v>12998</v>
      </c>
      <c r="F1619" s="1249"/>
    </row>
    <row r="1620" spans="3:6" hidden="1">
      <c r="C1620" s="595">
        <v>42079</v>
      </c>
      <c r="D1620" s="980">
        <v>108.05</v>
      </c>
      <c r="E1620" s="896">
        <v>12998</v>
      </c>
      <c r="F1620" s="1249"/>
    </row>
    <row r="1621" spans="3:6" hidden="1">
      <c r="C1621" s="595">
        <v>42080</v>
      </c>
      <c r="D1621" s="980">
        <v>108.05</v>
      </c>
      <c r="E1621" s="896">
        <v>12998</v>
      </c>
      <c r="F1621" s="1249"/>
    </row>
    <row r="1622" spans="3:6" hidden="1">
      <c r="C1622" s="595">
        <v>42081</v>
      </c>
      <c r="D1622" s="974">
        <v>108.67</v>
      </c>
      <c r="E1622" s="895">
        <v>13183</v>
      </c>
      <c r="F1622" s="1249"/>
    </row>
    <row r="1623" spans="3:6" hidden="1">
      <c r="C1623" s="595">
        <v>42082</v>
      </c>
      <c r="D1623" s="974">
        <v>108.67</v>
      </c>
      <c r="E1623" s="895">
        <v>13183</v>
      </c>
      <c r="F1623" s="1249"/>
    </row>
    <row r="1624" spans="3:6" hidden="1">
      <c r="C1624" s="595">
        <v>42083</v>
      </c>
      <c r="D1624" s="974">
        <v>108.67</v>
      </c>
      <c r="E1624" s="895">
        <v>13183</v>
      </c>
      <c r="F1624" s="1249"/>
    </row>
    <row r="1625" spans="3:6" hidden="1">
      <c r="C1625" s="595">
        <v>42084</v>
      </c>
      <c r="D1625" s="974">
        <v>108.67</v>
      </c>
      <c r="E1625" s="895">
        <v>13183</v>
      </c>
      <c r="F1625" s="1249"/>
    </row>
    <row r="1626" spans="3:6" hidden="1">
      <c r="C1626" s="595">
        <v>42085</v>
      </c>
      <c r="D1626" s="974">
        <v>108.67</v>
      </c>
      <c r="E1626" s="895">
        <v>13183</v>
      </c>
      <c r="F1626" s="1249"/>
    </row>
    <row r="1627" spans="3:6" hidden="1">
      <c r="C1627" s="595">
        <v>42086</v>
      </c>
      <c r="D1627" s="974">
        <v>108.67</v>
      </c>
      <c r="E1627" s="895">
        <v>13183</v>
      </c>
      <c r="F1627" s="1249"/>
    </row>
    <row r="1628" spans="3:6" hidden="1">
      <c r="C1628" s="595">
        <v>42087</v>
      </c>
      <c r="D1628" s="974">
        <v>108.67</v>
      </c>
      <c r="E1628" s="895">
        <v>13183</v>
      </c>
      <c r="F1628" s="1249"/>
    </row>
    <row r="1629" spans="3:6" hidden="1">
      <c r="C1629" s="595">
        <v>42088</v>
      </c>
      <c r="D1629" s="974">
        <v>108.93</v>
      </c>
      <c r="E1629" s="895">
        <v>13122</v>
      </c>
      <c r="F1629" s="1249"/>
    </row>
    <row r="1630" spans="3:6" hidden="1">
      <c r="C1630" s="595">
        <v>42089</v>
      </c>
      <c r="D1630" s="974">
        <v>108.93</v>
      </c>
      <c r="E1630" s="895">
        <v>13122</v>
      </c>
      <c r="F1630" s="1249"/>
    </row>
    <row r="1631" spans="3:6" hidden="1">
      <c r="C1631" s="595">
        <v>42090</v>
      </c>
      <c r="D1631" s="974">
        <v>108.93</v>
      </c>
      <c r="E1631" s="895">
        <v>13122</v>
      </c>
      <c r="F1631" s="1249"/>
    </row>
    <row r="1632" spans="3:6" hidden="1">
      <c r="C1632" s="595">
        <v>42091</v>
      </c>
      <c r="D1632" s="974">
        <v>108.93</v>
      </c>
      <c r="E1632" s="895">
        <v>13122</v>
      </c>
      <c r="F1632" s="1249"/>
    </row>
    <row r="1633" spans="3:6" hidden="1">
      <c r="C1633" s="595">
        <v>42092</v>
      </c>
      <c r="D1633" s="974">
        <v>108.93</v>
      </c>
      <c r="E1633" s="895">
        <v>13122</v>
      </c>
      <c r="F1633" s="1249"/>
    </row>
    <row r="1634" spans="3:6" hidden="1">
      <c r="C1634" s="595">
        <v>42093</v>
      </c>
      <c r="D1634" s="974">
        <v>108.93</v>
      </c>
      <c r="E1634" s="895">
        <v>13122</v>
      </c>
      <c r="F1634" s="1249"/>
    </row>
    <row r="1635" spans="3:6" hidden="1">
      <c r="C1635" s="595">
        <v>42094</v>
      </c>
      <c r="D1635" s="974">
        <v>108.93</v>
      </c>
      <c r="E1635" s="895">
        <v>13122</v>
      </c>
      <c r="F1635" s="1249"/>
    </row>
    <row r="1636" spans="3:6" hidden="1">
      <c r="C1636" s="595">
        <v>42095</v>
      </c>
      <c r="D1636" s="974">
        <v>109</v>
      </c>
      <c r="E1636" s="895">
        <v>13011</v>
      </c>
      <c r="F1636" s="1249"/>
    </row>
    <row r="1637" spans="3:6" hidden="1">
      <c r="C1637" s="595">
        <v>42096</v>
      </c>
      <c r="D1637" s="974">
        <v>109</v>
      </c>
      <c r="E1637" s="895">
        <v>13011</v>
      </c>
      <c r="F1637" s="1249"/>
    </row>
    <row r="1638" spans="3:6" hidden="1">
      <c r="C1638" s="595">
        <v>42097</v>
      </c>
      <c r="D1638" s="974">
        <v>109</v>
      </c>
      <c r="E1638" s="895">
        <v>13011</v>
      </c>
      <c r="F1638" s="1249"/>
    </row>
    <row r="1639" spans="3:6" hidden="1">
      <c r="C1639" s="595">
        <v>42098</v>
      </c>
      <c r="D1639" s="974">
        <v>109</v>
      </c>
      <c r="E1639" s="895">
        <v>13011</v>
      </c>
      <c r="F1639" s="1249"/>
    </row>
    <row r="1640" spans="3:6" hidden="1">
      <c r="C1640" s="595">
        <v>42099</v>
      </c>
      <c r="D1640" s="974">
        <v>109</v>
      </c>
      <c r="E1640" s="895">
        <v>13011</v>
      </c>
      <c r="F1640" s="1249"/>
    </row>
    <row r="1641" spans="3:6" hidden="1">
      <c r="C1641" s="595">
        <v>42100</v>
      </c>
      <c r="D1641" s="974">
        <v>109</v>
      </c>
      <c r="E1641" s="895">
        <v>13011</v>
      </c>
      <c r="F1641" s="1249"/>
    </row>
    <row r="1642" spans="3:6" hidden="1">
      <c r="C1642" s="595">
        <v>42101</v>
      </c>
      <c r="D1642" s="974">
        <v>109</v>
      </c>
      <c r="E1642" s="895">
        <v>13011</v>
      </c>
      <c r="F1642" s="1249"/>
    </row>
    <row r="1643" spans="3:6" hidden="1">
      <c r="C1643" s="595">
        <v>42102</v>
      </c>
      <c r="D1643" s="980">
        <v>108.93</v>
      </c>
      <c r="E1643" s="896">
        <v>13021</v>
      </c>
      <c r="F1643" s="1249"/>
    </row>
    <row r="1644" spans="3:6" hidden="1">
      <c r="C1644" s="595">
        <v>42103</v>
      </c>
      <c r="D1644" s="980">
        <v>108.93</v>
      </c>
      <c r="E1644" s="896">
        <v>13021</v>
      </c>
      <c r="F1644" s="1249"/>
    </row>
    <row r="1645" spans="3:6" hidden="1">
      <c r="C1645" s="595">
        <v>42104</v>
      </c>
      <c r="D1645" s="980">
        <v>108.93</v>
      </c>
      <c r="E1645" s="896">
        <v>13021</v>
      </c>
      <c r="F1645" s="1249"/>
    </row>
    <row r="1646" spans="3:6" hidden="1">
      <c r="C1646" s="595">
        <v>42105</v>
      </c>
      <c r="D1646" s="980">
        <v>108.93</v>
      </c>
      <c r="E1646" s="896">
        <v>13021</v>
      </c>
      <c r="F1646" s="1249"/>
    </row>
    <row r="1647" spans="3:6" hidden="1">
      <c r="C1647" s="595">
        <v>42106</v>
      </c>
      <c r="D1647" s="980">
        <v>108.93</v>
      </c>
      <c r="E1647" s="896">
        <v>13021</v>
      </c>
      <c r="F1647" s="1249"/>
    </row>
    <row r="1648" spans="3:6" hidden="1">
      <c r="C1648" s="595">
        <v>42107</v>
      </c>
      <c r="D1648" s="980">
        <v>108.93</v>
      </c>
      <c r="E1648" s="896">
        <v>13021</v>
      </c>
      <c r="F1648" s="1249"/>
    </row>
    <row r="1649" spans="3:6" hidden="1">
      <c r="C1649" s="595">
        <v>42108</v>
      </c>
      <c r="D1649" s="980">
        <v>108.93</v>
      </c>
      <c r="E1649" s="896">
        <v>13021</v>
      </c>
      <c r="F1649" s="1249"/>
    </row>
    <row r="1650" spans="3:6" hidden="1">
      <c r="C1650" s="595">
        <v>42109</v>
      </c>
      <c r="D1650" s="974">
        <v>107.62</v>
      </c>
      <c r="E1650" s="895">
        <v>12946</v>
      </c>
      <c r="F1650" s="1249"/>
    </row>
    <row r="1651" spans="3:6" hidden="1">
      <c r="C1651" s="595">
        <v>42110</v>
      </c>
      <c r="D1651" s="974">
        <v>107.62</v>
      </c>
      <c r="E1651" s="895">
        <v>12946</v>
      </c>
      <c r="F1651" s="1249"/>
    </row>
    <row r="1652" spans="3:6" hidden="1">
      <c r="C1652" s="595">
        <v>42111</v>
      </c>
      <c r="D1652" s="974">
        <v>107.62</v>
      </c>
      <c r="E1652" s="895">
        <v>12946</v>
      </c>
      <c r="F1652" s="1249"/>
    </row>
    <row r="1653" spans="3:6" hidden="1">
      <c r="C1653" s="595">
        <v>42112</v>
      </c>
      <c r="D1653" s="974">
        <v>107.62</v>
      </c>
      <c r="E1653" s="895">
        <v>12946</v>
      </c>
      <c r="F1653" s="1249"/>
    </row>
    <row r="1654" spans="3:6" hidden="1">
      <c r="C1654" s="595">
        <v>42113</v>
      </c>
      <c r="D1654" s="974">
        <v>107.62</v>
      </c>
      <c r="E1654" s="895">
        <v>12946</v>
      </c>
      <c r="F1654" s="1249"/>
    </row>
    <row r="1655" spans="3:6" hidden="1">
      <c r="C1655" s="595">
        <v>42114</v>
      </c>
      <c r="D1655" s="974">
        <v>107.62</v>
      </c>
      <c r="E1655" s="895">
        <v>12946</v>
      </c>
      <c r="F1655" s="1249"/>
    </row>
    <row r="1656" spans="3:6" hidden="1">
      <c r="C1656" s="595">
        <v>42115</v>
      </c>
      <c r="D1656" s="980">
        <v>107.62</v>
      </c>
      <c r="E1656" s="896">
        <v>12946</v>
      </c>
      <c r="F1656" s="1249"/>
    </row>
    <row r="1657" spans="3:6" hidden="1">
      <c r="C1657" s="595">
        <v>42116</v>
      </c>
      <c r="D1657" s="980">
        <v>108.22</v>
      </c>
      <c r="E1657" s="896">
        <v>12893</v>
      </c>
      <c r="F1657" s="1249"/>
    </row>
    <row r="1658" spans="3:13" hidden="1">
      <c r="C1658" s="595">
        <v>42117</v>
      </c>
      <c r="D1658" s="980">
        <v>108.22</v>
      </c>
      <c r="E1658" s="896">
        <v>12893</v>
      </c>
      <c r="F1658" s="1249"/>
      <c r="I1658" s="1248" t="s">
        <v>1264</v>
      </c>
      <c r="J1658" s="1248" t="s">
        <v>1268</v>
      </c>
      <c r="K1658" s="1248" t="s">
        <v>1265</v>
      </c>
      <c r="L1658" s="1248" t="s">
        <v>1266</v>
      </c>
      <c r="M1658" s="1248" t="s">
        <v>1267</v>
      </c>
    </row>
    <row r="1659" spans="3:10" hidden="1">
      <c r="C1659" s="595">
        <v>42118</v>
      </c>
      <c r="D1659" s="980">
        <v>108.22</v>
      </c>
      <c r="E1659" s="896">
        <v>12893</v>
      </c>
      <c r="F1659" s="1249"/>
      <c r="I1659" s="1248" t="s">
        <v>375</v>
      </c>
      <c r="J1659" s="1248">
        <v>2016</v>
      </c>
    </row>
    <row r="1660" spans="3:10" hidden="1">
      <c r="C1660" s="595">
        <v>42119</v>
      </c>
      <c r="D1660" s="980">
        <v>108.22</v>
      </c>
      <c r="E1660" s="896">
        <v>12893</v>
      </c>
      <c r="F1660" s="1249"/>
      <c r="J1660" s="1248">
        <v>2017</v>
      </c>
    </row>
    <row r="1661" spans="3:6" hidden="1">
      <c r="C1661" s="595">
        <v>42120</v>
      </c>
      <c r="D1661" s="980">
        <v>108.22</v>
      </c>
      <c r="E1661" s="896">
        <v>12893</v>
      </c>
      <c r="F1661" s="1249"/>
    </row>
    <row r="1662" spans="3:6" hidden="1">
      <c r="C1662" s="595">
        <v>42121</v>
      </c>
      <c r="D1662" s="980">
        <v>108.22</v>
      </c>
      <c r="E1662" s="896">
        <v>12893</v>
      </c>
      <c r="F1662" s="1249"/>
    </row>
    <row r="1663" spans="3:6" hidden="1">
      <c r="C1663" s="595">
        <v>42122</v>
      </c>
      <c r="D1663" s="980">
        <v>108.22</v>
      </c>
      <c r="E1663" s="896">
        <v>12893</v>
      </c>
      <c r="F1663" s="1249"/>
    </row>
    <row r="1664" spans="3:6" hidden="1">
      <c r="C1664" s="595">
        <v>42123</v>
      </c>
      <c r="D1664" s="980">
        <v>108.27</v>
      </c>
      <c r="E1664" s="896">
        <v>12930</v>
      </c>
      <c r="F1664" s="1249"/>
    </row>
    <row r="1665" spans="3:6" hidden="1">
      <c r="C1665" s="595">
        <v>42124</v>
      </c>
      <c r="D1665" s="980">
        <v>108.27</v>
      </c>
      <c r="E1665" s="896">
        <v>12930</v>
      </c>
      <c r="F1665" s="1249"/>
    </row>
    <row r="1666" spans="3:6" hidden="1">
      <c r="C1666" s="595">
        <v>42125</v>
      </c>
      <c r="D1666" s="980">
        <v>108.27</v>
      </c>
      <c r="E1666" s="896">
        <v>12930</v>
      </c>
      <c r="F1666" s="1249"/>
    </row>
    <row r="1667" spans="3:6" hidden="1">
      <c r="C1667" s="595">
        <v>42126</v>
      </c>
      <c r="D1667" s="980">
        <v>108.27</v>
      </c>
      <c r="E1667" s="896">
        <v>12930</v>
      </c>
      <c r="F1667" s="1249"/>
    </row>
    <row r="1668" spans="3:6" hidden="1">
      <c r="C1668" s="595">
        <v>42127</v>
      </c>
      <c r="D1668" s="980">
        <v>108.27</v>
      </c>
      <c r="E1668" s="896">
        <v>12930</v>
      </c>
      <c r="F1668" s="1249"/>
    </row>
    <row r="1669" spans="3:6" hidden="1">
      <c r="C1669" s="595">
        <v>42128</v>
      </c>
      <c r="D1669" s="980">
        <v>108.27</v>
      </c>
      <c r="E1669" s="896">
        <v>12930</v>
      </c>
      <c r="F1669" s="1249"/>
    </row>
    <row r="1670" spans="3:6" hidden="1">
      <c r="C1670" s="595">
        <v>42129</v>
      </c>
      <c r="D1670" s="980">
        <v>108.27</v>
      </c>
      <c r="E1670" s="896">
        <v>12930</v>
      </c>
      <c r="F1670" s="1249"/>
    </row>
    <row r="1671" spans="3:6" hidden="1">
      <c r="C1671" s="595">
        <v>42130</v>
      </c>
      <c r="D1671" s="980">
        <v>108.56</v>
      </c>
      <c r="E1671" s="896">
        <v>12973</v>
      </c>
      <c r="F1671" s="1249"/>
    </row>
    <row r="1672" spans="3:6" hidden="1">
      <c r="C1672" s="595">
        <v>42131</v>
      </c>
      <c r="D1672" s="980">
        <v>108.56</v>
      </c>
      <c r="E1672" s="896">
        <v>12973</v>
      </c>
      <c r="F1672" s="1249"/>
    </row>
    <row r="1673" spans="3:6" hidden="1">
      <c r="C1673" s="595">
        <v>42132</v>
      </c>
      <c r="D1673" s="980">
        <v>108.56</v>
      </c>
      <c r="E1673" s="896">
        <v>12973</v>
      </c>
      <c r="F1673" s="1249"/>
    </row>
    <row r="1674" spans="3:6" hidden="1">
      <c r="C1674" s="595">
        <v>42133</v>
      </c>
      <c r="D1674" s="980">
        <v>108.56</v>
      </c>
      <c r="E1674" s="896">
        <v>12973</v>
      </c>
      <c r="F1674" s="1249"/>
    </row>
    <row r="1675" spans="3:6" hidden="1">
      <c r="C1675" s="595">
        <v>42134</v>
      </c>
      <c r="D1675" s="980">
        <v>108.56</v>
      </c>
      <c r="E1675" s="896">
        <v>12973</v>
      </c>
      <c r="F1675" s="1249"/>
    </row>
    <row r="1676" spans="3:6" hidden="1">
      <c r="C1676" s="595">
        <v>42135</v>
      </c>
      <c r="D1676" s="980">
        <v>108.56</v>
      </c>
      <c r="E1676" s="896">
        <v>12973</v>
      </c>
      <c r="F1676" s="1249"/>
    </row>
    <row r="1677" spans="3:6" hidden="1">
      <c r="C1677" s="595">
        <v>42136</v>
      </c>
      <c r="D1677" s="980">
        <v>108.56</v>
      </c>
      <c r="E1677" s="896">
        <v>12973</v>
      </c>
      <c r="F1677" s="1249"/>
    </row>
    <row r="1678" spans="3:6" hidden="1">
      <c r="C1678" s="595">
        <v>42137</v>
      </c>
      <c r="D1678" s="980">
        <v>109.36</v>
      </c>
      <c r="E1678" s="896">
        <v>13096</v>
      </c>
      <c r="F1678" s="1249"/>
    </row>
    <row r="1679" spans="3:6" hidden="1">
      <c r="C1679" s="595">
        <v>42138</v>
      </c>
      <c r="D1679" s="980">
        <v>109.36</v>
      </c>
      <c r="E1679" s="896">
        <v>13096</v>
      </c>
      <c r="F1679" s="1249"/>
    </row>
    <row r="1680" spans="3:6" hidden="1">
      <c r="C1680" s="595">
        <v>42139</v>
      </c>
      <c r="D1680" s="980">
        <v>109.36</v>
      </c>
      <c r="E1680" s="896">
        <v>13096</v>
      </c>
      <c r="F1680" s="1249"/>
    </row>
    <row r="1681" spans="3:6" hidden="1">
      <c r="C1681" s="595">
        <v>42140</v>
      </c>
      <c r="D1681" s="980">
        <v>109.36</v>
      </c>
      <c r="E1681" s="896">
        <v>13096</v>
      </c>
      <c r="F1681" s="1249"/>
    </row>
    <row r="1682" spans="3:6" hidden="1">
      <c r="C1682" s="595">
        <v>42141</v>
      </c>
      <c r="D1682" s="980">
        <v>109.36</v>
      </c>
      <c r="E1682" s="896">
        <v>13096</v>
      </c>
      <c r="F1682" s="1249"/>
    </row>
    <row r="1683" spans="3:6" hidden="1">
      <c r="C1683" s="595">
        <v>42142</v>
      </c>
      <c r="D1683" s="980">
        <v>109.36</v>
      </c>
      <c r="E1683" s="896">
        <v>13096</v>
      </c>
      <c r="F1683" s="1249"/>
    </row>
    <row r="1684" spans="3:6" hidden="1">
      <c r="C1684" s="595">
        <v>42143</v>
      </c>
      <c r="D1684" s="980">
        <v>109.36</v>
      </c>
      <c r="E1684" s="896">
        <v>13096</v>
      </c>
      <c r="F1684" s="1249"/>
    </row>
    <row r="1685" spans="3:6" hidden="1">
      <c r="C1685" s="595">
        <v>42144</v>
      </c>
      <c r="D1685" s="980">
        <v>109.83</v>
      </c>
      <c r="E1685" s="896">
        <v>13112</v>
      </c>
      <c r="F1685" s="1249"/>
    </row>
    <row r="1686" spans="3:6" hidden="1">
      <c r="C1686" s="595">
        <v>42145</v>
      </c>
      <c r="D1686" s="980">
        <v>109.83</v>
      </c>
      <c r="E1686" s="896">
        <v>13112</v>
      </c>
      <c r="F1686" s="1249"/>
    </row>
    <row r="1687" spans="3:6" hidden="1">
      <c r="C1687" s="595">
        <v>42146</v>
      </c>
      <c r="D1687" s="980">
        <v>109.83</v>
      </c>
      <c r="E1687" s="896">
        <v>13112</v>
      </c>
      <c r="F1687" s="1249"/>
    </row>
    <row r="1688" spans="3:6" hidden="1">
      <c r="C1688" s="595">
        <v>42147</v>
      </c>
      <c r="D1688" s="980">
        <v>109.83</v>
      </c>
      <c r="E1688" s="896">
        <v>13112</v>
      </c>
      <c r="F1688" s="1249"/>
    </row>
    <row r="1689" spans="3:6" hidden="1">
      <c r="C1689" s="595">
        <v>42148</v>
      </c>
      <c r="D1689" s="980">
        <v>109.83</v>
      </c>
      <c r="E1689" s="896">
        <v>13112</v>
      </c>
      <c r="F1689" s="1249"/>
    </row>
    <row r="1690" spans="3:6" hidden="1">
      <c r="C1690" s="595">
        <v>42149</v>
      </c>
      <c r="D1690" s="980">
        <v>109.83</v>
      </c>
      <c r="E1690" s="896">
        <v>13112</v>
      </c>
      <c r="F1690" s="1249"/>
    </row>
    <row r="1691" spans="3:6" hidden="1">
      <c r="C1691" s="595">
        <v>42150</v>
      </c>
      <c r="D1691" s="980">
        <v>109.83</v>
      </c>
      <c r="E1691" s="896">
        <v>13112</v>
      </c>
      <c r="F1691" s="1249"/>
    </row>
    <row r="1692" spans="3:6" hidden="1">
      <c r="C1692" s="595">
        <v>42151</v>
      </c>
      <c r="D1692" s="980">
        <v>108.41</v>
      </c>
      <c r="E1692" s="896">
        <v>13147</v>
      </c>
      <c r="F1692" s="1249"/>
    </row>
    <row r="1693" spans="3:6" hidden="1">
      <c r="C1693" s="595">
        <v>42152</v>
      </c>
      <c r="D1693" s="980">
        <v>108.41</v>
      </c>
      <c r="E1693" s="896">
        <v>13147</v>
      </c>
      <c r="F1693" s="1249"/>
    </row>
    <row r="1694" spans="3:6" hidden="1">
      <c r="C1694" s="595">
        <v>42153</v>
      </c>
      <c r="D1694" s="980">
        <v>108.41</v>
      </c>
      <c r="E1694" s="896">
        <v>13147</v>
      </c>
      <c r="F1694" s="1249"/>
    </row>
    <row r="1695" spans="3:6" hidden="1">
      <c r="C1695" s="595">
        <v>42154</v>
      </c>
      <c r="D1695" s="980">
        <v>108.41</v>
      </c>
      <c r="E1695" s="896">
        <v>13147</v>
      </c>
      <c r="F1695" s="1249"/>
    </row>
    <row r="1696" spans="3:6" hidden="1">
      <c r="C1696" s="595">
        <v>42155</v>
      </c>
      <c r="D1696" s="980">
        <v>108.41</v>
      </c>
      <c r="E1696" s="896">
        <v>13147</v>
      </c>
      <c r="F1696" s="1249"/>
    </row>
    <row r="1697" spans="3:6" hidden="1">
      <c r="C1697" s="595">
        <v>42156</v>
      </c>
      <c r="D1697" s="980">
        <v>108.41</v>
      </c>
      <c r="E1697" s="896">
        <v>13147</v>
      </c>
      <c r="F1697" s="1249"/>
    </row>
    <row r="1698" spans="3:6" hidden="1">
      <c r="C1698" s="595">
        <v>42157</v>
      </c>
      <c r="D1698" s="980">
        <v>108.41</v>
      </c>
      <c r="E1698" s="896">
        <v>13147</v>
      </c>
      <c r="F1698" s="1249"/>
    </row>
    <row r="1699" spans="3:6" hidden="1">
      <c r="C1699" s="595">
        <v>42158</v>
      </c>
      <c r="D1699" s="980">
        <v>106.73</v>
      </c>
      <c r="E1699" s="896">
        <v>13217</v>
      </c>
      <c r="F1699" s="1249"/>
    </row>
    <row r="1700" spans="3:6" hidden="1">
      <c r="C1700" s="595">
        <v>42159</v>
      </c>
      <c r="D1700" s="980">
        <v>106.73</v>
      </c>
      <c r="E1700" s="896">
        <v>13217</v>
      </c>
      <c r="F1700" s="1249"/>
    </row>
    <row r="1701" spans="3:6" hidden="1">
      <c r="C1701" s="595">
        <v>42160</v>
      </c>
      <c r="D1701" s="980">
        <v>106.73</v>
      </c>
      <c r="E1701" s="896">
        <v>13217</v>
      </c>
      <c r="F1701" s="1249"/>
    </row>
    <row r="1702" spans="3:6" hidden="1">
      <c r="C1702" s="595">
        <v>42161</v>
      </c>
      <c r="D1702" s="980">
        <v>106.73</v>
      </c>
      <c r="E1702" s="896">
        <v>13217</v>
      </c>
      <c r="F1702" s="1249"/>
    </row>
    <row r="1703" spans="3:6" hidden="1">
      <c r="C1703" s="595">
        <v>42162</v>
      </c>
      <c r="D1703" s="980">
        <v>106.73</v>
      </c>
      <c r="E1703" s="896">
        <v>13217</v>
      </c>
      <c r="F1703" s="1249"/>
    </row>
    <row r="1704" spans="3:6" hidden="1">
      <c r="C1704" s="595">
        <v>42163</v>
      </c>
      <c r="D1704" s="980">
        <v>106.73</v>
      </c>
      <c r="E1704" s="896">
        <v>13217</v>
      </c>
      <c r="F1704" s="1249"/>
    </row>
    <row r="1705" spans="3:6" hidden="1">
      <c r="C1705" s="595">
        <v>42164</v>
      </c>
      <c r="D1705" s="980">
        <v>106.73</v>
      </c>
      <c r="E1705" s="896">
        <v>13217</v>
      </c>
      <c r="F1705" s="1249"/>
    </row>
    <row r="1706" spans="3:6" hidden="1">
      <c r="C1706" s="595">
        <v>42165</v>
      </c>
      <c r="D1706" s="980">
        <v>106.4</v>
      </c>
      <c r="E1706" s="896">
        <v>13275</v>
      </c>
      <c r="F1706" s="1249"/>
    </row>
    <row r="1707" spans="3:6" hidden="1">
      <c r="C1707" s="595">
        <v>42166</v>
      </c>
      <c r="D1707" s="980">
        <v>106.4</v>
      </c>
      <c r="E1707" s="896">
        <v>13275</v>
      </c>
      <c r="F1707" s="1249"/>
    </row>
    <row r="1708" spans="3:6" hidden="1">
      <c r="C1708" s="595">
        <v>42167</v>
      </c>
      <c r="D1708" s="980">
        <v>106.4</v>
      </c>
      <c r="E1708" s="896">
        <v>13275</v>
      </c>
      <c r="F1708" s="1249"/>
    </row>
    <row r="1709" spans="3:6" hidden="1">
      <c r="C1709" s="595">
        <v>42168</v>
      </c>
      <c r="D1709" s="980">
        <v>106.4</v>
      </c>
      <c r="E1709" s="896">
        <v>13275</v>
      </c>
      <c r="F1709" s="1249"/>
    </row>
    <row r="1710" spans="3:6" hidden="1">
      <c r="C1710" s="595">
        <v>42169</v>
      </c>
      <c r="D1710" s="980">
        <v>106.4</v>
      </c>
      <c r="E1710" s="896">
        <v>13275</v>
      </c>
      <c r="F1710" s="1249"/>
    </row>
    <row r="1711" spans="3:6" hidden="1">
      <c r="C1711" s="595">
        <v>42170</v>
      </c>
      <c r="D1711" s="980">
        <v>106.4</v>
      </c>
      <c r="E1711" s="896">
        <v>13275</v>
      </c>
      <c r="F1711" s="1249"/>
    </row>
    <row r="1712" spans="3:6" hidden="1">
      <c r="C1712" s="595">
        <v>42171</v>
      </c>
      <c r="D1712" s="980">
        <v>106.4</v>
      </c>
      <c r="E1712" s="896">
        <v>13275</v>
      </c>
      <c r="F1712" s="1249"/>
    </row>
    <row r="1713" spans="3:6" hidden="1">
      <c r="C1713" s="595">
        <v>42172</v>
      </c>
      <c r="D1713" s="980">
        <v>107.92</v>
      </c>
      <c r="E1713" s="896">
        <v>13324</v>
      </c>
      <c r="F1713" s="1249"/>
    </row>
    <row r="1714" spans="3:6" hidden="1">
      <c r="C1714" s="595">
        <v>42173</v>
      </c>
      <c r="D1714" s="980">
        <v>107.92</v>
      </c>
      <c r="E1714" s="896">
        <v>13324</v>
      </c>
      <c r="F1714" s="1249"/>
    </row>
    <row r="1715" spans="3:6" hidden="1">
      <c r="C1715" s="595">
        <v>42174</v>
      </c>
      <c r="D1715" s="980">
        <v>107.92</v>
      </c>
      <c r="E1715" s="896">
        <v>13324</v>
      </c>
      <c r="F1715" s="1249"/>
    </row>
    <row r="1716" spans="3:6" hidden="1">
      <c r="C1716" s="595">
        <v>42175</v>
      </c>
      <c r="D1716" s="980">
        <v>107.92</v>
      </c>
      <c r="E1716" s="896">
        <v>13324</v>
      </c>
      <c r="F1716" s="1249"/>
    </row>
    <row r="1717" spans="3:6" hidden="1">
      <c r="C1717" s="595">
        <v>42176</v>
      </c>
      <c r="D1717" s="980">
        <v>107.92</v>
      </c>
      <c r="E1717" s="896">
        <v>13324</v>
      </c>
      <c r="F1717" s="1249"/>
    </row>
    <row r="1718" spans="3:6" hidden="1">
      <c r="C1718" s="595">
        <v>42177</v>
      </c>
      <c r="D1718" s="980">
        <v>107.92</v>
      </c>
      <c r="E1718" s="896">
        <v>13324</v>
      </c>
      <c r="F1718" s="1249"/>
    </row>
    <row r="1719" spans="3:6" hidden="1">
      <c r="C1719" s="595">
        <v>42178</v>
      </c>
      <c r="D1719" s="980">
        <v>107.92</v>
      </c>
      <c r="E1719" s="896">
        <v>13324</v>
      </c>
      <c r="F1719" s="1249"/>
    </row>
    <row r="1720" spans="3:6" hidden="1">
      <c r="C1720" s="595">
        <v>42179</v>
      </c>
      <c r="D1720" s="980">
        <v>107.92</v>
      </c>
      <c r="E1720" s="896">
        <v>13324</v>
      </c>
      <c r="F1720" s="1249"/>
    </row>
    <row r="1721" spans="3:6" hidden="1">
      <c r="C1721" s="595">
        <v>42180</v>
      </c>
      <c r="D1721" s="980">
        <v>107.92</v>
      </c>
      <c r="E1721" s="896">
        <v>13324</v>
      </c>
      <c r="F1721" s="1249"/>
    </row>
    <row r="1722" spans="3:6" hidden="1">
      <c r="C1722" s="595">
        <v>42181</v>
      </c>
      <c r="D1722" s="980">
        <v>107.92</v>
      </c>
      <c r="E1722" s="896">
        <v>13324</v>
      </c>
      <c r="F1722" s="1249"/>
    </row>
    <row r="1723" spans="3:6" hidden="1">
      <c r="C1723" s="595">
        <v>42182</v>
      </c>
      <c r="D1723" s="980">
        <v>107.92</v>
      </c>
      <c r="E1723" s="896">
        <v>13324</v>
      </c>
      <c r="F1723" s="1249"/>
    </row>
    <row r="1724" spans="3:6" hidden="1">
      <c r="C1724" s="595">
        <v>42183</v>
      </c>
      <c r="D1724" s="980">
        <v>107.92</v>
      </c>
      <c r="E1724" s="896">
        <v>13324</v>
      </c>
      <c r="F1724" s="1249"/>
    </row>
    <row r="1725" spans="3:6" hidden="1">
      <c r="C1725" s="595">
        <v>42184</v>
      </c>
      <c r="D1725" s="980">
        <v>107.92</v>
      </c>
      <c r="E1725" s="896">
        <v>13324</v>
      </c>
      <c r="F1725" s="1249"/>
    </row>
    <row r="1726" spans="3:6" hidden="1">
      <c r="C1726" s="595">
        <v>42185</v>
      </c>
      <c r="D1726" s="980">
        <v>107.92</v>
      </c>
      <c r="E1726" s="896">
        <v>13324</v>
      </c>
      <c r="F1726" s="1249"/>
    </row>
    <row r="1727" spans="3:6" hidden="1">
      <c r="C1727" s="595">
        <v>42186</v>
      </c>
      <c r="D1727" s="980">
        <v>107.6</v>
      </c>
      <c r="E1727" s="896">
        <v>13308</v>
      </c>
      <c r="F1727" s="1249"/>
    </row>
    <row r="1728" spans="3:6" hidden="1">
      <c r="C1728" s="595">
        <v>42187</v>
      </c>
      <c r="D1728" s="980">
        <v>107.6</v>
      </c>
      <c r="E1728" s="896">
        <v>13308</v>
      </c>
      <c r="F1728" s="1249"/>
    </row>
    <row r="1729" spans="3:6" hidden="1">
      <c r="C1729" s="595">
        <v>42188</v>
      </c>
      <c r="D1729" s="980">
        <v>107.6</v>
      </c>
      <c r="E1729" s="896">
        <v>13308</v>
      </c>
      <c r="F1729" s="1249"/>
    </row>
    <row r="1730" spans="3:6" hidden="1">
      <c r="C1730" s="595">
        <v>42189</v>
      </c>
      <c r="D1730" s="980">
        <v>107.6</v>
      </c>
      <c r="E1730" s="896">
        <v>13308</v>
      </c>
      <c r="F1730" s="1249"/>
    </row>
    <row r="1731" spans="3:6" hidden="1">
      <c r="C1731" s="595">
        <v>42190</v>
      </c>
      <c r="D1731" s="980">
        <v>107.6</v>
      </c>
      <c r="E1731" s="896">
        <v>13308</v>
      </c>
      <c r="F1731" s="1249"/>
    </row>
    <row r="1732" spans="3:6" hidden="1">
      <c r="C1732" s="595">
        <v>42191</v>
      </c>
      <c r="D1732" s="980">
        <v>107.6</v>
      </c>
      <c r="E1732" s="896">
        <v>13308</v>
      </c>
      <c r="F1732" s="1249"/>
    </row>
    <row r="1733" spans="3:6" hidden="1">
      <c r="C1733" s="595">
        <v>42192</v>
      </c>
      <c r="D1733" s="980">
        <v>107.6</v>
      </c>
      <c r="E1733" s="896">
        <v>13308</v>
      </c>
      <c r="F1733" s="1249"/>
    </row>
    <row r="1734" spans="3:6" hidden="1">
      <c r="C1734" s="595">
        <v>42193</v>
      </c>
      <c r="D1734" s="980">
        <v>108.56</v>
      </c>
      <c r="E1734" s="896">
        <v>13335</v>
      </c>
      <c r="F1734" s="1249"/>
    </row>
    <row r="1735" spans="3:6" hidden="1">
      <c r="C1735" s="595">
        <v>42194</v>
      </c>
      <c r="D1735" s="980">
        <v>108.56</v>
      </c>
      <c r="E1735" s="896">
        <v>13335</v>
      </c>
      <c r="F1735" s="1249"/>
    </row>
    <row r="1736" spans="3:6" hidden="1">
      <c r="C1736" s="595">
        <v>42195</v>
      </c>
      <c r="D1736" s="980">
        <v>108.56</v>
      </c>
      <c r="E1736" s="896">
        <v>13335</v>
      </c>
      <c r="F1736" s="1249"/>
    </row>
    <row r="1737" spans="3:6" hidden="1">
      <c r="C1737" s="595">
        <v>42196</v>
      </c>
      <c r="D1737" s="980">
        <v>108.56</v>
      </c>
      <c r="E1737" s="896">
        <v>13335</v>
      </c>
      <c r="F1737" s="1249"/>
    </row>
    <row r="1738" spans="3:6" hidden="1">
      <c r="C1738" s="595">
        <v>42197</v>
      </c>
      <c r="D1738" s="980">
        <v>108.56</v>
      </c>
      <c r="E1738" s="896">
        <v>13335</v>
      </c>
      <c r="F1738" s="1249"/>
    </row>
    <row r="1739" spans="3:6" hidden="1">
      <c r="C1739" s="595">
        <v>42198</v>
      </c>
      <c r="D1739" s="980">
        <v>108.56</v>
      </c>
      <c r="E1739" s="896">
        <v>13335</v>
      </c>
      <c r="F1739" s="1249"/>
    </row>
    <row r="1740" spans="3:6" hidden="1">
      <c r="C1740" s="595">
        <v>42199</v>
      </c>
      <c r="D1740" s="980">
        <v>108.56</v>
      </c>
      <c r="E1740" s="896">
        <v>13335</v>
      </c>
      <c r="F1740" s="1249"/>
    </row>
    <row r="1741" spans="3:6" hidden="1">
      <c r="C1741" s="595">
        <v>42200</v>
      </c>
      <c r="D1741" s="980">
        <v>109.27</v>
      </c>
      <c r="E1741" s="896">
        <v>13328</v>
      </c>
      <c r="F1741" s="1249"/>
    </row>
    <row r="1742" spans="3:6" hidden="1">
      <c r="C1742" s="595">
        <v>42201</v>
      </c>
      <c r="D1742" s="980">
        <v>109.27</v>
      </c>
      <c r="E1742" s="896">
        <v>13328</v>
      </c>
      <c r="F1742" s="1249"/>
    </row>
    <row r="1743" spans="3:6" hidden="1">
      <c r="C1743" s="595">
        <v>42202</v>
      </c>
      <c r="D1743" s="980">
        <v>109.27</v>
      </c>
      <c r="E1743" s="896">
        <v>13328</v>
      </c>
      <c r="F1743" s="1249"/>
    </row>
    <row r="1744" spans="3:6" hidden="1">
      <c r="C1744" s="595">
        <v>42203</v>
      </c>
      <c r="D1744" s="980">
        <v>109.27</v>
      </c>
      <c r="E1744" s="896">
        <v>13328</v>
      </c>
      <c r="F1744" s="1249"/>
    </row>
    <row r="1745" spans="3:6" hidden="1">
      <c r="C1745" s="595">
        <v>42204</v>
      </c>
      <c r="D1745" s="980">
        <v>109.27</v>
      </c>
      <c r="E1745" s="896">
        <v>13328</v>
      </c>
      <c r="F1745" s="1249"/>
    </row>
    <row r="1746" spans="3:6" hidden="1">
      <c r="C1746" s="595">
        <v>42205</v>
      </c>
      <c r="D1746" s="980">
        <v>109.27</v>
      </c>
      <c r="E1746" s="896">
        <v>13328</v>
      </c>
      <c r="F1746" s="1249"/>
    </row>
    <row r="1747" spans="3:6" hidden="1">
      <c r="C1747" s="595">
        <v>42206</v>
      </c>
      <c r="D1747" s="980">
        <v>109.27</v>
      </c>
      <c r="E1747" s="896">
        <v>13328</v>
      </c>
      <c r="F1747" s="1249"/>
    </row>
    <row r="1748" spans="3:6" hidden="1">
      <c r="C1748" s="595">
        <v>42207</v>
      </c>
      <c r="D1748" s="980">
        <v>109.27</v>
      </c>
      <c r="E1748" s="896">
        <v>13328</v>
      </c>
      <c r="F1748" s="1249"/>
    </row>
    <row r="1749" spans="3:6" hidden="1">
      <c r="C1749" s="595">
        <v>42208</v>
      </c>
      <c r="D1749" s="980">
        <v>109.27</v>
      </c>
      <c r="E1749" s="896">
        <v>13328</v>
      </c>
      <c r="F1749" s="1249"/>
    </row>
    <row r="1750" spans="3:6" hidden="1">
      <c r="C1750" s="595">
        <v>42209</v>
      </c>
      <c r="D1750" s="980">
        <v>109.27</v>
      </c>
      <c r="E1750" s="896">
        <v>13328</v>
      </c>
      <c r="F1750" s="1249"/>
    </row>
    <row r="1751" spans="3:6" hidden="1">
      <c r="C1751" s="595">
        <v>42210</v>
      </c>
      <c r="D1751" s="980">
        <v>109.27</v>
      </c>
      <c r="E1751" s="896">
        <v>13328</v>
      </c>
      <c r="F1751" s="1249"/>
    </row>
    <row r="1752" spans="3:6" hidden="1">
      <c r="C1752" s="595">
        <v>42211</v>
      </c>
      <c r="D1752" s="980">
        <v>109.27</v>
      </c>
      <c r="E1752" s="896">
        <v>13328</v>
      </c>
      <c r="F1752" s="1249"/>
    </row>
    <row r="1753" spans="3:6" hidden="1">
      <c r="C1753" s="595">
        <v>42212</v>
      </c>
      <c r="D1753" s="980">
        <v>109.27</v>
      </c>
      <c r="E1753" s="896">
        <v>13328</v>
      </c>
      <c r="F1753" s="1249"/>
    </row>
    <row r="1754" spans="3:6" hidden="1">
      <c r="C1754" s="595">
        <v>42213</v>
      </c>
      <c r="D1754" s="980">
        <v>109.27</v>
      </c>
      <c r="E1754" s="896">
        <v>13328</v>
      </c>
      <c r="F1754" s="1249"/>
    </row>
    <row r="1755" spans="3:6" hidden="1">
      <c r="C1755" s="595">
        <v>42214</v>
      </c>
      <c r="D1755" s="980">
        <v>108.3</v>
      </c>
      <c r="E1755" s="896">
        <v>13413</v>
      </c>
      <c r="F1755" s="1249"/>
    </row>
    <row r="1756" spans="3:6" hidden="1">
      <c r="C1756" s="595">
        <v>42215</v>
      </c>
      <c r="D1756" s="980">
        <v>108.3</v>
      </c>
      <c r="E1756" s="896">
        <v>13413</v>
      </c>
      <c r="F1756" s="1249"/>
    </row>
    <row r="1757" spans="3:6" hidden="1">
      <c r="C1757" s="595">
        <v>42216</v>
      </c>
      <c r="D1757" s="980">
        <v>108.3</v>
      </c>
      <c r="E1757" s="896">
        <v>13413</v>
      </c>
      <c r="F1757" s="1249"/>
    </row>
    <row r="1758" spans="3:6" hidden="1">
      <c r="C1758" s="595">
        <v>42217</v>
      </c>
      <c r="D1758" s="980">
        <v>108.3</v>
      </c>
      <c r="E1758" s="896">
        <v>13413</v>
      </c>
      <c r="F1758" s="1249"/>
    </row>
    <row r="1759" spans="3:6" hidden="1">
      <c r="C1759" s="595">
        <v>42218</v>
      </c>
      <c r="D1759" s="980">
        <v>108.3</v>
      </c>
      <c r="E1759" s="896">
        <v>13413</v>
      </c>
      <c r="F1759" s="1249"/>
    </row>
    <row r="1760" spans="3:6" hidden="1">
      <c r="C1760" s="595">
        <v>42219</v>
      </c>
      <c r="D1760" s="980">
        <v>108.3</v>
      </c>
      <c r="E1760" s="896">
        <v>13413</v>
      </c>
      <c r="F1760" s="1249"/>
    </row>
    <row r="1761" spans="3:6" hidden="1">
      <c r="C1761" s="595">
        <v>42220</v>
      </c>
      <c r="D1761" s="980">
        <v>108.3</v>
      </c>
      <c r="E1761" s="896">
        <v>13413</v>
      </c>
      <c r="F1761" s="1249"/>
    </row>
    <row r="1762" spans="3:6" hidden="1">
      <c r="C1762" s="595">
        <v>42221</v>
      </c>
      <c r="D1762" s="980">
        <v>108.3</v>
      </c>
      <c r="E1762" s="896">
        <v>13413</v>
      </c>
      <c r="F1762" s="1249"/>
    </row>
    <row r="1763" spans="3:6" hidden="1">
      <c r="C1763" s="595">
        <v>42222</v>
      </c>
      <c r="D1763" s="980">
        <v>108.82</v>
      </c>
      <c r="E1763" s="896">
        <v>13483</v>
      </c>
      <c r="F1763" s="1249"/>
    </row>
    <row r="1764" spans="3:6" hidden="1">
      <c r="C1764" s="595">
        <v>42223</v>
      </c>
      <c r="D1764" s="980">
        <v>108.82</v>
      </c>
      <c r="E1764" s="896">
        <v>13483</v>
      </c>
      <c r="F1764" s="1249"/>
    </row>
    <row r="1765" spans="3:6" hidden="1">
      <c r="C1765" s="595">
        <v>42224</v>
      </c>
      <c r="D1765" s="980">
        <v>108.82</v>
      </c>
      <c r="E1765" s="896">
        <v>13483</v>
      </c>
      <c r="F1765" s="1249"/>
    </row>
    <row r="1766" spans="3:6" hidden="1">
      <c r="C1766" s="595">
        <v>42225</v>
      </c>
      <c r="D1766" s="980">
        <v>108.82</v>
      </c>
      <c r="E1766" s="896">
        <v>13483</v>
      </c>
      <c r="F1766" s="1249"/>
    </row>
    <row r="1767" spans="3:6" hidden="1">
      <c r="C1767" s="595">
        <v>42226</v>
      </c>
      <c r="D1767" s="980">
        <v>108.82</v>
      </c>
      <c r="E1767" s="896">
        <v>13483</v>
      </c>
      <c r="F1767" s="1249"/>
    </row>
    <row r="1768" spans="3:6" hidden="1">
      <c r="C1768" s="595">
        <v>42227</v>
      </c>
      <c r="D1768" s="980">
        <v>108.82</v>
      </c>
      <c r="E1768" s="896">
        <v>13483</v>
      </c>
      <c r="F1768" s="1249"/>
    </row>
    <row r="1769" spans="3:6" hidden="1">
      <c r="C1769" s="595">
        <v>42228</v>
      </c>
      <c r="D1769" s="980">
        <v>108.55</v>
      </c>
      <c r="E1769" s="896">
        <v>13518</v>
      </c>
      <c r="F1769" s="1249"/>
    </row>
    <row r="1770" spans="3:6" hidden="1">
      <c r="C1770" s="595">
        <v>42229</v>
      </c>
      <c r="D1770" s="980">
        <v>108.55</v>
      </c>
      <c r="E1770" s="896">
        <v>13518</v>
      </c>
      <c r="F1770" s="1249"/>
    </row>
    <row r="1771" spans="3:6" hidden="1">
      <c r="C1771" s="595">
        <v>42230</v>
      </c>
      <c r="D1771" s="980">
        <v>108.55</v>
      </c>
      <c r="E1771" s="896">
        <v>13518</v>
      </c>
      <c r="F1771" s="1249"/>
    </row>
    <row r="1772" spans="3:6" hidden="1">
      <c r="C1772" s="595">
        <v>42231</v>
      </c>
      <c r="D1772" s="980">
        <v>108.55</v>
      </c>
      <c r="E1772" s="896">
        <v>13518</v>
      </c>
      <c r="F1772" s="1249"/>
    </row>
    <row r="1773" spans="3:6" hidden="1">
      <c r="C1773" s="595">
        <v>42232</v>
      </c>
      <c r="D1773" s="980">
        <v>108.55</v>
      </c>
      <c r="E1773" s="896">
        <v>13518</v>
      </c>
      <c r="F1773" s="1249"/>
    </row>
    <row r="1774" spans="3:6" hidden="1">
      <c r="C1774" s="595">
        <v>42233</v>
      </c>
      <c r="D1774" s="980">
        <v>108.55</v>
      </c>
      <c r="E1774" s="896">
        <v>13518</v>
      </c>
      <c r="F1774" s="1249"/>
    </row>
    <row r="1775" spans="3:6" hidden="1">
      <c r="C1775" s="595">
        <v>42234</v>
      </c>
      <c r="D1775" s="980">
        <v>108.55</v>
      </c>
      <c r="E1775" s="896">
        <v>13518</v>
      </c>
      <c r="F1775" s="1249"/>
    </row>
    <row r="1776" spans="3:6" hidden="1">
      <c r="C1776" s="595">
        <v>42235</v>
      </c>
      <c r="D1776" s="980">
        <v>110.92</v>
      </c>
      <c r="E1776" s="896">
        <v>13795</v>
      </c>
      <c r="F1776" s="1249"/>
    </row>
    <row r="1777" spans="3:6" hidden="1">
      <c r="C1777" s="595">
        <v>42236</v>
      </c>
      <c r="D1777" s="980">
        <v>110.92</v>
      </c>
      <c r="E1777" s="896">
        <v>13795</v>
      </c>
      <c r="F1777" s="1249"/>
    </row>
    <row r="1778" spans="3:6" hidden="1">
      <c r="C1778" s="595">
        <v>42237</v>
      </c>
      <c r="D1778" s="980">
        <v>110.92</v>
      </c>
      <c r="E1778" s="896">
        <v>13795</v>
      </c>
      <c r="F1778" s="1249"/>
    </row>
    <row r="1779" spans="3:6" hidden="1">
      <c r="C1779" s="595">
        <v>42238</v>
      </c>
      <c r="D1779" s="980">
        <v>110.92</v>
      </c>
      <c r="E1779" s="896">
        <v>13795</v>
      </c>
      <c r="F1779" s="1249"/>
    </row>
    <row r="1780" spans="3:6" hidden="1">
      <c r="C1780" s="595">
        <v>42239</v>
      </c>
      <c r="D1780" s="980">
        <v>110.92</v>
      </c>
      <c r="E1780" s="896">
        <v>13795</v>
      </c>
      <c r="F1780" s="1249"/>
    </row>
    <row r="1781" spans="3:6" hidden="1">
      <c r="C1781" s="595">
        <v>42240</v>
      </c>
      <c r="D1781" s="980">
        <v>110.92</v>
      </c>
      <c r="E1781" s="896">
        <v>13795</v>
      </c>
      <c r="F1781" s="1249"/>
    </row>
    <row r="1782" spans="3:6" hidden="1">
      <c r="C1782" s="595">
        <v>42241</v>
      </c>
      <c r="D1782" s="980">
        <v>110.92</v>
      </c>
      <c r="E1782" s="896">
        <v>13795</v>
      </c>
      <c r="F1782" s="1249"/>
    </row>
    <row r="1783" spans="3:6" hidden="1">
      <c r="C1783" s="595">
        <v>42242</v>
      </c>
      <c r="D1783" s="980">
        <v>113.04</v>
      </c>
      <c r="E1783" s="896">
        <v>13904</v>
      </c>
      <c r="F1783" s="1249"/>
    </row>
    <row r="1784" spans="3:6" hidden="1">
      <c r="C1784" s="595">
        <v>42243</v>
      </c>
      <c r="D1784" s="980">
        <v>113.04</v>
      </c>
      <c r="E1784" s="896">
        <v>13904</v>
      </c>
      <c r="F1784" s="1249"/>
    </row>
    <row r="1785" spans="3:6" hidden="1">
      <c r="C1785" s="595">
        <v>42244</v>
      </c>
      <c r="D1785" s="980">
        <v>113.04</v>
      </c>
      <c r="E1785" s="896">
        <v>13904</v>
      </c>
      <c r="F1785" s="1249"/>
    </row>
    <row r="1786" spans="3:6" hidden="1">
      <c r="C1786" s="595">
        <v>42245</v>
      </c>
      <c r="D1786" s="980">
        <v>113.04</v>
      </c>
      <c r="E1786" s="896">
        <v>13904</v>
      </c>
      <c r="F1786" s="1249"/>
    </row>
    <row r="1787" spans="3:6" hidden="1">
      <c r="C1787" s="595">
        <v>42246</v>
      </c>
      <c r="D1787" s="980">
        <v>113.04</v>
      </c>
      <c r="E1787" s="896">
        <v>13904</v>
      </c>
      <c r="F1787" s="1249"/>
    </row>
    <row r="1788" spans="3:6" hidden="1">
      <c r="C1788" s="595">
        <v>42247</v>
      </c>
      <c r="D1788" s="980">
        <v>113.04</v>
      </c>
      <c r="E1788" s="896">
        <v>13904</v>
      </c>
      <c r="F1788" s="1249"/>
    </row>
    <row r="1789" spans="3:6" hidden="1">
      <c r="C1789" s="595">
        <v>42248</v>
      </c>
      <c r="D1789" s="980">
        <v>113.04</v>
      </c>
      <c r="E1789" s="896">
        <v>13904</v>
      </c>
      <c r="F1789" s="1249"/>
    </row>
    <row r="1790" spans="3:6" hidden="1">
      <c r="C1790" s="595">
        <v>42249</v>
      </c>
      <c r="D1790" s="980">
        <v>116.45</v>
      </c>
      <c r="E1790" s="896">
        <v>14036</v>
      </c>
      <c r="F1790" s="1249"/>
    </row>
    <row r="1791" spans="3:6" hidden="1">
      <c r="C1791" s="595">
        <v>42250</v>
      </c>
      <c r="D1791" s="980">
        <v>116.45</v>
      </c>
      <c r="E1791" s="896">
        <v>14036</v>
      </c>
      <c r="F1791" s="1249"/>
    </row>
    <row r="1792" spans="3:6" hidden="1">
      <c r="C1792" s="595">
        <v>42251</v>
      </c>
      <c r="D1792" s="980">
        <v>116.45</v>
      </c>
      <c r="E1792" s="896">
        <v>14036</v>
      </c>
      <c r="F1792" s="1249"/>
    </row>
    <row r="1793" spans="3:6" hidden="1">
      <c r="C1793" s="595">
        <v>42252</v>
      </c>
      <c r="D1793" s="980">
        <v>116.45</v>
      </c>
      <c r="E1793" s="896">
        <v>14036</v>
      </c>
      <c r="F1793" s="1249"/>
    </row>
    <row r="1794" spans="3:6" hidden="1">
      <c r="C1794" s="595">
        <v>42253</v>
      </c>
      <c r="D1794" s="980">
        <v>116.45</v>
      </c>
      <c r="E1794" s="896">
        <v>14036</v>
      </c>
      <c r="F1794" s="1249"/>
    </row>
    <row r="1795" spans="3:6" hidden="1">
      <c r="C1795" s="595">
        <v>42254</v>
      </c>
      <c r="D1795" s="980">
        <v>116.45</v>
      </c>
      <c r="E1795" s="896">
        <v>14036</v>
      </c>
      <c r="F1795" s="1249"/>
    </row>
    <row r="1796" spans="3:6" hidden="1">
      <c r="C1796" s="595">
        <v>42255</v>
      </c>
      <c r="D1796" s="980">
        <v>116.45</v>
      </c>
      <c r="E1796" s="896">
        <v>14036</v>
      </c>
      <c r="F1796" s="1249"/>
    </row>
    <row r="1797" spans="3:6" hidden="1">
      <c r="C1797" s="595">
        <v>42256</v>
      </c>
      <c r="D1797" s="980">
        <v>118.41</v>
      </c>
      <c r="E1797" s="896">
        <v>14165</v>
      </c>
      <c r="F1797" s="1249"/>
    </row>
    <row r="1798" spans="3:6" hidden="1">
      <c r="C1798" s="595">
        <v>42257</v>
      </c>
      <c r="D1798" s="980">
        <v>118.41</v>
      </c>
      <c r="E1798" s="896">
        <v>14165</v>
      </c>
      <c r="F1798" s="1249"/>
    </row>
    <row r="1799" spans="3:6" hidden="1">
      <c r="C1799" s="595">
        <v>42258</v>
      </c>
      <c r="D1799" s="980">
        <v>118.41</v>
      </c>
      <c r="E1799" s="896">
        <v>14165</v>
      </c>
      <c r="F1799" s="1249"/>
    </row>
    <row r="1800" spans="3:6" hidden="1">
      <c r="C1800" s="595">
        <v>42259</v>
      </c>
      <c r="D1800" s="980">
        <v>118.41</v>
      </c>
      <c r="E1800" s="896">
        <v>14165</v>
      </c>
      <c r="F1800" s="1249"/>
    </row>
    <row r="1801" spans="3:6" hidden="1">
      <c r="C1801" s="595">
        <v>42260</v>
      </c>
      <c r="D1801" s="980">
        <v>118.41</v>
      </c>
      <c r="E1801" s="896">
        <v>14165</v>
      </c>
      <c r="F1801" s="1249"/>
    </row>
    <row r="1802" spans="3:6" hidden="1">
      <c r="C1802" s="595">
        <v>42261</v>
      </c>
      <c r="D1802" s="980">
        <v>118.41</v>
      </c>
      <c r="E1802" s="896">
        <v>14165</v>
      </c>
      <c r="F1802" s="1249"/>
    </row>
    <row r="1803" spans="3:6" hidden="1">
      <c r="C1803" s="595">
        <v>42262</v>
      </c>
      <c r="D1803" s="980">
        <v>118.41</v>
      </c>
      <c r="E1803" s="896">
        <v>14165</v>
      </c>
      <c r="F1803" s="1249"/>
    </row>
    <row r="1804" spans="3:6" hidden="1">
      <c r="C1804" s="595">
        <v>42263</v>
      </c>
      <c r="D1804" s="980">
        <v>118.77</v>
      </c>
      <c r="E1804" s="896">
        <v>14303</v>
      </c>
      <c r="F1804" s="1249"/>
    </row>
    <row r="1805" spans="3:6" hidden="1">
      <c r="C1805" s="595">
        <v>42264</v>
      </c>
      <c r="D1805" s="980">
        <v>118.77</v>
      </c>
      <c r="E1805" s="896">
        <v>14303</v>
      </c>
      <c r="F1805" s="1249"/>
    </row>
    <row r="1806" spans="3:6" hidden="1">
      <c r="C1806" s="595">
        <v>42265</v>
      </c>
      <c r="D1806" s="980">
        <v>118.77</v>
      </c>
      <c r="E1806" s="896">
        <v>14303</v>
      </c>
      <c r="F1806" s="1249"/>
    </row>
    <row r="1807" spans="3:6" hidden="1">
      <c r="C1807" s="595">
        <v>42266</v>
      </c>
      <c r="D1807" s="980">
        <v>118.77</v>
      </c>
      <c r="E1807" s="896">
        <v>14303</v>
      </c>
      <c r="F1807" s="1249"/>
    </row>
    <row r="1808" spans="3:6" hidden="1">
      <c r="C1808" s="595">
        <v>42267</v>
      </c>
      <c r="D1808" s="980">
        <v>118.77</v>
      </c>
      <c r="E1808" s="896">
        <v>14303</v>
      </c>
      <c r="F1808" s="1249"/>
    </row>
    <row r="1809" spans="3:6" hidden="1">
      <c r="C1809" s="595">
        <v>42268</v>
      </c>
      <c r="D1809" s="980">
        <v>118.77</v>
      </c>
      <c r="E1809" s="896">
        <v>14303</v>
      </c>
      <c r="F1809" s="1249"/>
    </row>
    <row r="1810" spans="3:6" hidden="1">
      <c r="C1810" s="595">
        <v>42269</v>
      </c>
      <c r="D1810" s="980">
        <v>118.77</v>
      </c>
      <c r="E1810" s="896">
        <v>14303</v>
      </c>
      <c r="F1810" s="1249"/>
    </row>
    <row r="1811" spans="3:6" hidden="1">
      <c r="C1811" s="595">
        <v>42270</v>
      </c>
      <c r="D1811" s="980">
        <v>120.05</v>
      </c>
      <c r="E1811" s="896">
        <v>14425</v>
      </c>
      <c r="F1811" s="1249"/>
    </row>
    <row r="1812" spans="3:6" hidden="1">
      <c r="C1812" s="595">
        <v>42271</v>
      </c>
      <c r="D1812" s="980">
        <v>120.05</v>
      </c>
      <c r="E1812" s="896">
        <v>14425</v>
      </c>
      <c r="F1812" s="1249"/>
    </row>
    <row r="1813" spans="3:6" hidden="1">
      <c r="C1813" s="595">
        <v>42272</v>
      </c>
      <c r="D1813" s="980">
        <v>120.05</v>
      </c>
      <c r="E1813" s="896">
        <v>14425</v>
      </c>
      <c r="F1813" s="1249"/>
    </row>
    <row r="1814" spans="3:6" hidden="1">
      <c r="C1814" s="595">
        <v>42273</v>
      </c>
      <c r="D1814" s="980">
        <v>120.05</v>
      </c>
      <c r="E1814" s="896">
        <v>14425</v>
      </c>
      <c r="F1814" s="1249"/>
    </row>
    <row r="1815" spans="3:6" hidden="1">
      <c r="C1815" s="595">
        <v>42274</v>
      </c>
      <c r="D1815" s="980">
        <v>120.05</v>
      </c>
      <c r="E1815" s="896">
        <v>14425</v>
      </c>
      <c r="F1815" s="1249"/>
    </row>
    <row r="1816" spans="3:6" hidden="1">
      <c r="C1816" s="595">
        <v>42275</v>
      </c>
      <c r="D1816" s="980">
        <v>120.05</v>
      </c>
      <c r="E1816" s="896">
        <v>14425</v>
      </c>
      <c r="F1816" s="1249"/>
    </row>
    <row r="1817" spans="3:6" hidden="1">
      <c r="C1817" s="595">
        <v>42276</v>
      </c>
      <c r="D1817" s="980">
        <v>120.05</v>
      </c>
      <c r="E1817" s="896">
        <v>14425</v>
      </c>
      <c r="F1817" s="1249"/>
    </row>
    <row r="1818" spans="3:6" hidden="1">
      <c r="C1818" s="595">
        <v>42277</v>
      </c>
      <c r="D1818" s="980">
        <v>121.78</v>
      </c>
      <c r="E1818" s="896">
        <v>14650</v>
      </c>
      <c r="F1818" s="1249"/>
    </row>
    <row r="1819" spans="3:6" hidden="1">
      <c r="C1819" s="595">
        <v>42278</v>
      </c>
      <c r="D1819" s="980">
        <v>121.78</v>
      </c>
      <c r="E1819" s="896">
        <v>14650</v>
      </c>
      <c r="F1819" s="1249"/>
    </row>
    <row r="1820" spans="3:6" hidden="1">
      <c r="C1820" s="595">
        <v>42279</v>
      </c>
      <c r="D1820" s="980">
        <v>121.78</v>
      </c>
      <c r="E1820" s="896">
        <v>14650</v>
      </c>
      <c r="F1820" s="1249"/>
    </row>
    <row r="1821" spans="3:6" hidden="1">
      <c r="C1821" s="595">
        <v>42280</v>
      </c>
      <c r="D1821" s="980">
        <v>121.78</v>
      </c>
      <c r="E1821" s="896">
        <v>14650</v>
      </c>
      <c r="F1821" s="1249"/>
    </row>
    <row r="1822" spans="3:6" hidden="1">
      <c r="C1822" s="595">
        <v>42281</v>
      </c>
      <c r="D1822" s="980">
        <v>121.78</v>
      </c>
      <c r="E1822" s="896">
        <v>14650</v>
      </c>
      <c r="F1822" s="1249"/>
    </row>
    <row r="1823" spans="3:6" hidden="1">
      <c r="C1823" s="595">
        <v>42282</v>
      </c>
      <c r="D1823" s="980">
        <v>121.78</v>
      </c>
      <c r="E1823" s="896">
        <v>14650</v>
      </c>
      <c r="F1823" s="1249"/>
    </row>
    <row r="1824" spans="3:6" hidden="1">
      <c r="C1824" s="595">
        <v>42283</v>
      </c>
      <c r="D1824" s="980">
        <v>121.78</v>
      </c>
      <c r="E1824" s="896">
        <v>14650</v>
      </c>
      <c r="F1824" s="1249"/>
    </row>
    <row r="1825" spans="3:6" hidden="1">
      <c r="C1825" s="595">
        <v>42284</v>
      </c>
      <c r="D1825" s="980">
        <v>122.32</v>
      </c>
      <c r="E1825" s="896">
        <v>14664</v>
      </c>
      <c r="F1825" s="1249"/>
    </row>
    <row r="1826" spans="3:6" hidden="1">
      <c r="C1826" s="595">
        <v>42285</v>
      </c>
      <c r="D1826" s="980">
        <v>122.32</v>
      </c>
      <c r="E1826" s="896">
        <v>14664</v>
      </c>
      <c r="F1826" s="1249"/>
    </row>
    <row r="1827" spans="3:6" hidden="1">
      <c r="C1827" s="595">
        <v>42286</v>
      </c>
      <c r="D1827" s="980">
        <v>122.32</v>
      </c>
      <c r="E1827" s="896">
        <v>14664</v>
      </c>
      <c r="F1827" s="1249"/>
    </row>
    <row r="1828" spans="3:6" hidden="1">
      <c r="C1828" s="595">
        <v>42287</v>
      </c>
      <c r="D1828" s="980">
        <v>122.32</v>
      </c>
      <c r="E1828" s="896">
        <v>14664</v>
      </c>
      <c r="F1828" s="1249"/>
    </row>
    <row r="1829" spans="3:6" hidden="1">
      <c r="C1829" s="595">
        <v>42288</v>
      </c>
      <c r="D1829" s="980">
        <v>122.32</v>
      </c>
      <c r="E1829" s="896">
        <v>14664</v>
      </c>
      <c r="F1829" s="1249"/>
    </row>
    <row r="1830" spans="3:6" hidden="1">
      <c r="C1830" s="595">
        <v>42289</v>
      </c>
      <c r="D1830" s="980">
        <v>122.32</v>
      </c>
      <c r="E1830" s="896">
        <v>14664</v>
      </c>
      <c r="F1830" s="1249"/>
    </row>
    <row r="1831" spans="3:6" hidden="1">
      <c r="C1831" s="595">
        <v>42290</v>
      </c>
      <c r="D1831" s="980">
        <v>122.32</v>
      </c>
      <c r="E1831" s="896">
        <v>14664</v>
      </c>
      <c r="F1831" s="1249"/>
    </row>
    <row r="1832" spans="3:6" hidden="1">
      <c r="C1832" s="595">
        <v>42291</v>
      </c>
      <c r="D1832" s="980">
        <v>114.6</v>
      </c>
      <c r="E1832" s="896">
        <v>13764</v>
      </c>
      <c r="F1832" s="1249"/>
    </row>
    <row r="1833" spans="3:6" hidden="1">
      <c r="C1833" s="595">
        <v>42292</v>
      </c>
      <c r="D1833" s="980">
        <v>114.6</v>
      </c>
      <c r="E1833" s="896">
        <v>13764</v>
      </c>
      <c r="F1833" s="1249"/>
    </row>
    <row r="1834" spans="3:6" hidden="1">
      <c r="C1834" s="595">
        <v>42293</v>
      </c>
      <c r="D1834" s="980">
        <v>114.6</v>
      </c>
      <c r="E1834" s="896">
        <v>13764</v>
      </c>
      <c r="F1834" s="1249"/>
    </row>
    <row r="1835" spans="3:6" hidden="1">
      <c r="C1835" s="595">
        <v>42294</v>
      </c>
      <c r="D1835" s="980">
        <v>114.6</v>
      </c>
      <c r="E1835" s="896">
        <v>13764</v>
      </c>
      <c r="F1835" s="1249"/>
    </row>
    <row r="1836" spans="3:6" hidden="1">
      <c r="C1836" s="595">
        <v>42295</v>
      </c>
      <c r="D1836" s="980">
        <v>114.6</v>
      </c>
      <c r="E1836" s="896">
        <v>13764</v>
      </c>
      <c r="F1836" s="1249"/>
    </row>
    <row r="1837" spans="3:6" hidden="1">
      <c r="C1837" s="595">
        <v>42296</v>
      </c>
      <c r="D1837" s="980">
        <v>114.6</v>
      </c>
      <c r="E1837" s="896">
        <v>13764</v>
      </c>
      <c r="F1837" s="1249"/>
    </row>
    <row r="1838" spans="3:6" hidden="1">
      <c r="C1838" s="595">
        <v>42297</v>
      </c>
      <c r="D1838" s="980">
        <v>114.6</v>
      </c>
      <c r="E1838" s="896">
        <v>13764</v>
      </c>
      <c r="F1838" s="1249"/>
    </row>
    <row r="1839" spans="3:6" hidden="1">
      <c r="C1839" s="595">
        <v>42298</v>
      </c>
      <c r="D1839" s="980">
        <v>113.61</v>
      </c>
      <c r="E1839" s="896">
        <v>13549</v>
      </c>
      <c r="F1839" s="1249"/>
    </row>
    <row r="1840" spans="3:6" hidden="1">
      <c r="C1840" s="595">
        <v>42299</v>
      </c>
      <c r="D1840" s="980">
        <v>113.61</v>
      </c>
      <c r="E1840" s="896">
        <v>13549</v>
      </c>
      <c r="F1840" s="1249"/>
    </row>
    <row r="1841" spans="3:6" hidden="1">
      <c r="C1841" s="595">
        <v>42300</v>
      </c>
      <c r="D1841" s="980">
        <v>113.61</v>
      </c>
      <c r="E1841" s="896">
        <v>13549</v>
      </c>
      <c r="F1841" s="1249"/>
    </row>
    <row r="1842" spans="3:6" hidden="1">
      <c r="C1842" s="595">
        <v>42301</v>
      </c>
      <c r="D1842" s="980">
        <v>113.61</v>
      </c>
      <c r="E1842" s="896">
        <v>13549</v>
      </c>
      <c r="F1842" s="1249"/>
    </row>
    <row r="1843" spans="3:6" hidden="1">
      <c r="C1843" s="595">
        <v>42302</v>
      </c>
      <c r="D1843" s="980">
        <v>113.61</v>
      </c>
      <c r="E1843" s="896">
        <v>13549</v>
      </c>
      <c r="F1843" s="1249"/>
    </row>
    <row r="1844" spans="3:6" hidden="1">
      <c r="C1844" s="595">
        <v>42303</v>
      </c>
      <c r="D1844" s="980">
        <v>113.61</v>
      </c>
      <c r="E1844" s="896">
        <v>13549</v>
      </c>
      <c r="F1844" s="1249"/>
    </row>
    <row r="1845" spans="3:6" hidden="1">
      <c r="C1845" s="595">
        <v>42304</v>
      </c>
      <c r="D1845" s="980">
        <v>113.61</v>
      </c>
      <c r="E1845" s="896">
        <v>13549</v>
      </c>
      <c r="F1845" s="1249"/>
    </row>
    <row r="1846" spans="3:6" hidden="1">
      <c r="C1846" s="595">
        <v>42305</v>
      </c>
      <c r="D1846" s="980">
        <v>113.3</v>
      </c>
      <c r="E1846" s="896">
        <v>13665</v>
      </c>
      <c r="F1846" s="1249"/>
    </row>
    <row r="1847" spans="3:6" hidden="1">
      <c r="C1847" s="595">
        <v>42306</v>
      </c>
      <c r="D1847" s="980">
        <v>113.3</v>
      </c>
      <c r="E1847" s="896">
        <v>13665</v>
      </c>
      <c r="F1847" s="1249"/>
    </row>
    <row r="1848" spans="3:5" hidden="1">
      <c r="C1848" s="595">
        <v>42307</v>
      </c>
      <c r="D1848" s="980">
        <v>113.3</v>
      </c>
      <c r="E1848" s="896">
        <v>13665</v>
      </c>
    </row>
    <row r="1849" spans="3:6" hidden="1">
      <c r="C1849" s="595">
        <v>42308</v>
      </c>
      <c r="D1849" s="980">
        <v>113.3</v>
      </c>
      <c r="E1849" s="896">
        <v>13665</v>
      </c>
      <c r="F1849" s="1249"/>
    </row>
    <row r="1850" spans="3:6" hidden="1">
      <c r="C1850" s="595">
        <v>42309</v>
      </c>
      <c r="D1850" s="980">
        <v>113.3</v>
      </c>
      <c r="E1850" s="896">
        <v>13665</v>
      </c>
      <c r="F1850" s="1249"/>
    </row>
    <row r="1851" spans="3:6" hidden="1">
      <c r="C1851" s="595">
        <v>42310</v>
      </c>
      <c r="D1851" s="980">
        <v>113.3</v>
      </c>
      <c r="E1851" s="896">
        <v>13665</v>
      </c>
      <c r="F1851" s="1249"/>
    </row>
    <row r="1852" spans="3:6" hidden="1">
      <c r="C1852" s="595">
        <v>42311</v>
      </c>
      <c r="D1852" s="980">
        <v>113.3</v>
      </c>
      <c r="E1852" s="896">
        <v>13665</v>
      </c>
      <c r="F1852" s="1249"/>
    </row>
    <row r="1853" spans="3:6" hidden="1">
      <c r="C1853" s="595">
        <v>42312</v>
      </c>
      <c r="D1853" s="980">
        <v>112.77</v>
      </c>
      <c r="E1853" s="896">
        <v>13617</v>
      </c>
      <c r="F1853" s="1249"/>
    </row>
    <row r="1854" spans="3:6" hidden="1">
      <c r="C1854" s="595">
        <v>42313</v>
      </c>
      <c r="D1854" s="980">
        <v>112.77</v>
      </c>
      <c r="E1854" s="896">
        <v>13617</v>
      </c>
      <c r="F1854" s="1249"/>
    </row>
    <row r="1855" spans="3:6" hidden="1">
      <c r="C1855" s="595">
        <v>42314</v>
      </c>
      <c r="D1855" s="980">
        <v>112.77</v>
      </c>
      <c r="E1855" s="896">
        <v>13617</v>
      </c>
      <c r="F1855" s="1249"/>
    </row>
    <row r="1856" spans="3:6" hidden="1">
      <c r="C1856" s="595">
        <v>42315</v>
      </c>
      <c r="D1856" s="980">
        <v>112.77</v>
      </c>
      <c r="E1856" s="896">
        <v>13617</v>
      </c>
      <c r="F1856" s="1249"/>
    </row>
    <row r="1857" spans="3:6" hidden="1">
      <c r="C1857" s="595">
        <v>42316</v>
      </c>
      <c r="D1857" s="980">
        <v>112.77</v>
      </c>
      <c r="E1857" s="896">
        <v>13617</v>
      </c>
      <c r="F1857" s="1249"/>
    </row>
    <row r="1858" spans="3:6" hidden="1">
      <c r="C1858" s="595">
        <v>42317</v>
      </c>
      <c r="D1858" s="980">
        <v>112.77</v>
      </c>
      <c r="E1858" s="896">
        <v>13617</v>
      </c>
      <c r="F1858" s="1249"/>
    </row>
    <row r="1859" spans="3:6" hidden="1">
      <c r="C1859" s="595">
        <v>42318</v>
      </c>
      <c r="D1859" s="980">
        <v>112.77</v>
      </c>
      <c r="E1859" s="896">
        <v>13617</v>
      </c>
      <c r="F1859" s="1249"/>
    </row>
    <row r="1860" spans="3:6" hidden="1">
      <c r="C1860" s="595">
        <v>42319</v>
      </c>
      <c r="D1860" s="980">
        <v>111.11</v>
      </c>
      <c r="E1860" s="896">
        <v>13576</v>
      </c>
      <c r="F1860" s="1249"/>
    </row>
    <row r="1861" spans="3:6" hidden="1">
      <c r="C1861" s="595">
        <v>42320</v>
      </c>
      <c r="D1861" s="980">
        <v>111.11</v>
      </c>
      <c r="E1861" s="896">
        <v>13576</v>
      </c>
      <c r="F1861" s="1249"/>
    </row>
    <row r="1862" spans="3:6" hidden="1">
      <c r="C1862" s="595">
        <v>42321</v>
      </c>
      <c r="D1862" s="980">
        <v>111.11</v>
      </c>
      <c r="E1862" s="896">
        <v>13576</v>
      </c>
      <c r="F1862" s="1249"/>
    </row>
    <row r="1863" spans="3:6" hidden="1">
      <c r="C1863" s="595">
        <v>42322</v>
      </c>
      <c r="D1863" s="980">
        <v>111.11</v>
      </c>
      <c r="E1863" s="896">
        <v>13576</v>
      </c>
      <c r="F1863" s="1249"/>
    </row>
    <row r="1864" spans="3:6" hidden="1">
      <c r="C1864" s="595">
        <v>42323</v>
      </c>
      <c r="D1864" s="980">
        <v>111.11</v>
      </c>
      <c r="E1864" s="896">
        <v>13576</v>
      </c>
      <c r="F1864" s="1249"/>
    </row>
    <row r="1865" spans="3:6" hidden="1">
      <c r="C1865" s="595">
        <v>42324</v>
      </c>
      <c r="D1865" s="980">
        <v>111.11</v>
      </c>
      <c r="E1865" s="896">
        <v>13576</v>
      </c>
      <c r="F1865" s="1249"/>
    </row>
    <row r="1866" spans="3:6" hidden="1">
      <c r="C1866" s="595">
        <v>42325</v>
      </c>
      <c r="D1866" s="980">
        <v>111.11</v>
      </c>
      <c r="E1866" s="896">
        <v>13576</v>
      </c>
      <c r="F1866" s="1249"/>
    </row>
    <row r="1867" spans="3:6" hidden="1">
      <c r="C1867" s="595">
        <v>42326</v>
      </c>
      <c r="D1867" s="980">
        <v>111.2</v>
      </c>
      <c r="E1867" s="896">
        <v>13648</v>
      </c>
      <c r="F1867" s="1249"/>
    </row>
    <row r="1868" spans="3:6" hidden="1">
      <c r="C1868" s="595">
        <v>42327</v>
      </c>
      <c r="D1868" s="980">
        <v>111.2</v>
      </c>
      <c r="E1868" s="896">
        <v>13648</v>
      </c>
      <c r="F1868" s="1249"/>
    </row>
    <row r="1869" spans="3:6" hidden="1">
      <c r="C1869" s="595">
        <v>42328</v>
      </c>
      <c r="D1869" s="980">
        <v>111.2</v>
      </c>
      <c r="E1869" s="896">
        <v>13648</v>
      </c>
      <c r="F1869" s="1249"/>
    </row>
    <row r="1870" spans="3:6" hidden="1">
      <c r="C1870" s="595">
        <v>42329</v>
      </c>
      <c r="D1870" s="980">
        <v>111.2</v>
      </c>
      <c r="E1870" s="896">
        <v>13648</v>
      </c>
      <c r="F1870" s="1249"/>
    </row>
    <row r="1871" spans="3:6" hidden="1">
      <c r="C1871" s="595">
        <v>42330</v>
      </c>
      <c r="D1871" s="980">
        <v>111.2</v>
      </c>
      <c r="E1871" s="896">
        <v>13648</v>
      </c>
      <c r="F1871" s="1249"/>
    </row>
    <row r="1872" spans="3:6" hidden="1">
      <c r="C1872" s="595">
        <v>42331</v>
      </c>
      <c r="D1872" s="980">
        <v>111.2</v>
      </c>
      <c r="E1872" s="896">
        <v>13648</v>
      </c>
      <c r="F1872" s="1249"/>
    </row>
    <row r="1873" spans="3:6" hidden="1">
      <c r="C1873" s="595">
        <v>42332</v>
      </c>
      <c r="D1873" s="980">
        <v>111.2</v>
      </c>
      <c r="E1873" s="896">
        <v>13648</v>
      </c>
      <c r="F1873" s="1249"/>
    </row>
    <row r="1874" spans="3:6" hidden="1">
      <c r="C1874" s="595">
        <v>42333</v>
      </c>
      <c r="D1874" s="980">
        <v>111.49</v>
      </c>
      <c r="E1874" s="896">
        <v>13735</v>
      </c>
      <c r="F1874" s="1249"/>
    </row>
    <row r="1875" spans="3:6" hidden="1">
      <c r="C1875" s="595">
        <v>42334</v>
      </c>
      <c r="D1875" s="980">
        <v>111.49</v>
      </c>
      <c r="E1875" s="896">
        <v>13735</v>
      </c>
      <c r="F1875" s="1249"/>
    </row>
    <row r="1876" spans="3:6" hidden="1">
      <c r="C1876" s="595">
        <v>42335</v>
      </c>
      <c r="D1876" s="980">
        <v>111.49</v>
      </c>
      <c r="E1876" s="896">
        <v>13735</v>
      </c>
      <c r="F1876" s="1249"/>
    </row>
    <row r="1877" spans="3:6" hidden="1">
      <c r="C1877" s="595">
        <v>42336</v>
      </c>
      <c r="D1877" s="980">
        <v>111.49</v>
      </c>
      <c r="E1877" s="896">
        <v>13735</v>
      </c>
      <c r="F1877" s="1249"/>
    </row>
    <row r="1878" spans="3:6" hidden="1">
      <c r="C1878" s="595">
        <v>42337</v>
      </c>
      <c r="D1878" s="980">
        <v>111.49</v>
      </c>
      <c r="E1878" s="896">
        <v>13735</v>
      </c>
      <c r="F1878" s="1249"/>
    </row>
    <row r="1879" spans="3:6" hidden="1">
      <c r="C1879" s="595">
        <v>42338</v>
      </c>
      <c r="D1879" s="980">
        <v>111.49</v>
      </c>
      <c r="E1879" s="896">
        <v>13735</v>
      </c>
      <c r="F1879" s="1249"/>
    </row>
    <row r="1880" spans="3:6" hidden="1">
      <c r="C1880" s="595">
        <v>42339</v>
      </c>
      <c r="D1880" s="980">
        <v>111.49</v>
      </c>
      <c r="E1880" s="896">
        <v>13735</v>
      </c>
      <c r="F1880" s="1249"/>
    </row>
    <row r="1881" spans="3:6" hidden="1">
      <c r="C1881" s="595">
        <v>42340</v>
      </c>
      <c r="D1881" s="980">
        <v>112.14</v>
      </c>
      <c r="E1881" s="896">
        <v>13757</v>
      </c>
      <c r="F1881" s="1249"/>
    </row>
    <row r="1882" spans="3:6" hidden="1">
      <c r="C1882" s="595">
        <v>42341</v>
      </c>
      <c r="D1882" s="980">
        <v>112.14</v>
      </c>
      <c r="E1882" s="896">
        <v>13757</v>
      </c>
      <c r="F1882" s="1249"/>
    </row>
    <row r="1883" spans="3:6" hidden="1">
      <c r="C1883" s="595">
        <v>42342</v>
      </c>
      <c r="D1883" s="980">
        <v>112.14</v>
      </c>
      <c r="E1883" s="896">
        <v>13757</v>
      </c>
      <c r="F1883" s="1249"/>
    </row>
    <row r="1884" spans="3:6" hidden="1">
      <c r="C1884" s="595">
        <v>42343</v>
      </c>
      <c r="D1884" s="980">
        <v>112.14</v>
      </c>
      <c r="E1884" s="896">
        <v>13757</v>
      </c>
      <c r="F1884" s="1249"/>
    </row>
    <row r="1885" spans="3:6" hidden="1">
      <c r="C1885" s="595">
        <v>42344</v>
      </c>
      <c r="D1885" s="980">
        <v>112.14</v>
      </c>
      <c r="E1885" s="896">
        <v>13757</v>
      </c>
      <c r="F1885" s="1249"/>
    </row>
    <row r="1886" spans="3:6" hidden="1">
      <c r="C1886" s="595">
        <v>42345</v>
      </c>
      <c r="D1886" s="980">
        <v>112.14</v>
      </c>
      <c r="E1886" s="896">
        <v>13757</v>
      </c>
      <c r="F1886" s="1249"/>
    </row>
    <row r="1887" spans="3:6" hidden="1">
      <c r="C1887" s="595">
        <v>42346</v>
      </c>
      <c r="D1887" s="980">
        <v>112.14</v>
      </c>
      <c r="E1887" s="896">
        <v>13757</v>
      </c>
      <c r="F1887" s="1249"/>
    </row>
    <row r="1888" spans="3:6" hidden="1">
      <c r="C1888" s="595">
        <v>42347</v>
      </c>
      <c r="D1888" s="980">
        <v>112.31</v>
      </c>
      <c r="E1888" s="896">
        <v>13816</v>
      </c>
      <c r="F1888" s="1249"/>
    </row>
    <row r="1889" spans="3:6" hidden="1">
      <c r="C1889" s="595">
        <v>42348</v>
      </c>
      <c r="D1889" s="980">
        <v>112.31</v>
      </c>
      <c r="E1889" s="896">
        <v>13816</v>
      </c>
      <c r="F1889" s="1249"/>
    </row>
    <row r="1890" spans="3:6" hidden="1">
      <c r="C1890" s="595">
        <v>42349</v>
      </c>
      <c r="D1890" s="980">
        <v>112.31</v>
      </c>
      <c r="E1890" s="896">
        <v>13816</v>
      </c>
      <c r="F1890" s="1249"/>
    </row>
    <row r="1891" spans="3:6" hidden="1">
      <c r="C1891" s="595">
        <v>42350</v>
      </c>
      <c r="D1891" s="980">
        <v>112.31</v>
      </c>
      <c r="E1891" s="896">
        <v>13816</v>
      </c>
      <c r="F1891" s="1249"/>
    </row>
    <row r="1892" spans="3:6" hidden="1">
      <c r="C1892" s="595">
        <v>42351</v>
      </c>
      <c r="D1892" s="980">
        <v>112.31</v>
      </c>
      <c r="E1892" s="896">
        <v>13816</v>
      </c>
      <c r="F1892" s="1249"/>
    </row>
    <row r="1893" spans="3:6" hidden="1">
      <c r="C1893" s="595">
        <v>42352</v>
      </c>
      <c r="D1893" s="980">
        <v>112.31</v>
      </c>
      <c r="E1893" s="896">
        <v>13816</v>
      </c>
      <c r="F1893" s="1249"/>
    </row>
    <row r="1894" spans="3:6" hidden="1">
      <c r="C1894" s="595">
        <v>42353</v>
      </c>
      <c r="D1894" s="980">
        <v>112.31</v>
      </c>
      <c r="E1894" s="896">
        <v>13816</v>
      </c>
      <c r="F1894" s="1249"/>
    </row>
    <row r="1895" spans="3:6" hidden="1">
      <c r="C1895" s="595">
        <v>42354</v>
      </c>
      <c r="D1895" s="980">
        <v>114.99</v>
      </c>
      <c r="E1895" s="896">
        <v>13984</v>
      </c>
      <c r="F1895" s="1249"/>
    </row>
    <row r="1896" spans="3:6" hidden="1">
      <c r="C1896" s="595">
        <v>42355</v>
      </c>
      <c r="D1896" s="980">
        <v>114.99</v>
      </c>
      <c r="E1896" s="896">
        <v>13984</v>
      </c>
      <c r="F1896" s="1249"/>
    </row>
    <row r="1897" spans="3:6" hidden="1">
      <c r="C1897" s="595">
        <v>42356</v>
      </c>
      <c r="D1897" s="980">
        <v>114.99</v>
      </c>
      <c r="E1897" s="896">
        <v>13984</v>
      </c>
      <c r="F1897" s="1249"/>
    </row>
    <row r="1898" spans="3:6" hidden="1">
      <c r="C1898" s="595">
        <v>42357</v>
      </c>
      <c r="D1898" s="980">
        <v>114.99</v>
      </c>
      <c r="E1898" s="896">
        <v>13984</v>
      </c>
      <c r="F1898" s="1249"/>
    </row>
    <row r="1899" spans="3:6" hidden="1">
      <c r="C1899" s="595">
        <v>42358</v>
      </c>
      <c r="D1899" s="980">
        <v>114.99</v>
      </c>
      <c r="E1899" s="896">
        <v>13984</v>
      </c>
      <c r="F1899" s="1249"/>
    </row>
    <row r="1900" spans="3:6" hidden="1">
      <c r="C1900" s="595">
        <v>42359</v>
      </c>
      <c r="D1900" s="980">
        <v>114.99</v>
      </c>
      <c r="E1900" s="896">
        <v>13984</v>
      </c>
      <c r="F1900" s="1249"/>
    </row>
    <row r="1901" spans="3:6" hidden="1">
      <c r="C1901" s="595">
        <v>42360</v>
      </c>
      <c r="D1901" s="980">
        <v>114.99</v>
      </c>
      <c r="E1901" s="896">
        <v>13984</v>
      </c>
      <c r="F1901" s="1249"/>
    </row>
    <row r="1902" spans="3:6" hidden="1">
      <c r="C1902" s="595">
        <v>42361</v>
      </c>
      <c r="D1902" s="980">
        <v>114.64</v>
      </c>
      <c r="E1902" s="896">
        <v>13961</v>
      </c>
      <c r="F1902" s="1249"/>
    </row>
    <row r="1903" spans="3:6" hidden="1">
      <c r="C1903" s="595">
        <v>42362</v>
      </c>
      <c r="D1903" s="980">
        <v>114.64</v>
      </c>
      <c r="E1903" s="896">
        <v>13961</v>
      </c>
      <c r="F1903" s="1249"/>
    </row>
    <row r="1904" spans="3:6" hidden="1">
      <c r="C1904" s="595">
        <v>42363</v>
      </c>
      <c r="D1904" s="980">
        <v>114.64</v>
      </c>
      <c r="E1904" s="896">
        <v>13961</v>
      </c>
      <c r="F1904" s="1249"/>
    </row>
    <row r="1905" spans="3:6" hidden="1">
      <c r="C1905" s="595">
        <v>42364</v>
      </c>
      <c r="D1905" s="980">
        <v>114.64</v>
      </c>
      <c r="E1905" s="896">
        <v>13961</v>
      </c>
      <c r="F1905" s="1249"/>
    </row>
    <row r="1906" spans="3:6" hidden="1">
      <c r="C1906" s="595">
        <v>42365</v>
      </c>
      <c r="D1906" s="980">
        <v>114.64</v>
      </c>
      <c r="E1906" s="896">
        <v>13961</v>
      </c>
      <c r="F1906" s="1249"/>
    </row>
    <row r="1907" spans="3:6" hidden="1">
      <c r="C1907" s="595">
        <v>42366</v>
      </c>
      <c r="D1907" s="980">
        <v>114.64</v>
      </c>
      <c r="E1907" s="896">
        <v>13961</v>
      </c>
      <c r="F1907" s="1249"/>
    </row>
    <row r="1908" spans="3:6" hidden="1">
      <c r="C1908" s="595">
        <v>42367</v>
      </c>
      <c r="D1908" s="980">
        <v>114.64</v>
      </c>
      <c r="E1908" s="896">
        <v>13961</v>
      </c>
      <c r="F1908" s="1249"/>
    </row>
    <row r="1909" spans="3:6" hidden="1">
      <c r="C1909" s="595">
        <v>42368</v>
      </c>
      <c r="D1909" s="980">
        <v>113.07</v>
      </c>
      <c r="E1909" s="896">
        <v>13640</v>
      </c>
      <c r="F1909" s="1249"/>
    </row>
    <row r="1910" spans="3:6" hidden="1">
      <c r="C1910" s="595">
        <v>42369</v>
      </c>
      <c r="D1910" s="980">
        <v>113.07</v>
      </c>
      <c r="E1910" s="896">
        <v>13640</v>
      </c>
      <c r="F1910" s="1249"/>
    </row>
    <row r="1911" spans="1:6">
      <c r="A1911" s="1247" t="s">
        <v>1379</v>
      </c>
      <c r="C1911" s="891"/>
      <c r="D1911" s="974"/>
      <c r="E1911" s="895"/>
      <c r="F1911" s="1249"/>
    </row>
    <row r="1912" spans="3:7">
      <c r="C1912" s="981">
        <v>42370</v>
      </c>
      <c r="D1912" s="980">
        <v>113.07</v>
      </c>
      <c r="E1912" s="896">
        <v>13640</v>
      </c>
      <c r="F1912" s="1249"/>
      <c r="G1912" s="1251"/>
    </row>
    <row r="1913" spans="3:7">
      <c r="C1913" s="981">
        <v>42371</v>
      </c>
      <c r="D1913" s="980">
        <v>113.07</v>
      </c>
      <c r="E1913" s="896">
        <v>13640</v>
      </c>
      <c r="F1913" s="1249"/>
      <c r="G1913" s="1251"/>
    </row>
    <row r="1914" spans="3:7">
      <c r="C1914" s="981">
        <v>42372</v>
      </c>
      <c r="D1914" s="980">
        <v>113.07</v>
      </c>
      <c r="E1914" s="896">
        <v>13640</v>
      </c>
      <c r="F1914" s="1249"/>
      <c r="G1914" s="1251"/>
    </row>
    <row r="1915" spans="3:7">
      <c r="C1915" s="981">
        <v>42373</v>
      </c>
      <c r="D1915" s="980">
        <v>113.07</v>
      </c>
      <c r="E1915" s="896">
        <v>13640</v>
      </c>
      <c r="F1915" s="1249"/>
      <c r="G1915" s="1251"/>
    </row>
    <row r="1916" spans="3:7">
      <c r="C1916" s="981">
        <v>42374</v>
      </c>
      <c r="D1916" s="980">
        <v>113.07</v>
      </c>
      <c r="E1916" s="896">
        <v>13640</v>
      </c>
      <c r="F1916" s="1249"/>
      <c r="G1916" s="1251"/>
    </row>
    <row r="1917" spans="3:7">
      <c r="C1917" s="981">
        <v>42375</v>
      </c>
      <c r="D1917" s="980">
        <v>114.81</v>
      </c>
      <c r="E1917" s="895">
        <v>13800</v>
      </c>
      <c r="F1917" s="1249"/>
      <c r="G1917" s="1251"/>
    </row>
    <row r="1918" spans="3:7">
      <c r="C1918" s="981">
        <v>42376</v>
      </c>
      <c r="D1918" s="980">
        <v>114.81</v>
      </c>
      <c r="E1918" s="895">
        <v>13800</v>
      </c>
      <c r="F1918" s="1249"/>
      <c r="G1918" s="1251"/>
    </row>
    <row r="1919" spans="3:7" ht="15.75" customHeight="1">
      <c r="C1919" s="981">
        <v>42377</v>
      </c>
      <c r="D1919" s="980">
        <v>114.81</v>
      </c>
      <c r="E1919" s="895">
        <v>13800</v>
      </c>
      <c r="F1919" s="1249"/>
      <c r="G1919" s="1251"/>
    </row>
    <row r="1920" spans="3:7">
      <c r="C1920" s="981">
        <v>42378</v>
      </c>
      <c r="D1920" s="980">
        <v>114.81</v>
      </c>
      <c r="E1920" s="895">
        <v>13800</v>
      </c>
      <c r="F1920" s="1249"/>
      <c r="G1920" s="1251"/>
    </row>
    <row r="1921" spans="3:7">
      <c r="C1921" s="981">
        <v>42379</v>
      </c>
      <c r="D1921" s="980">
        <v>114.81</v>
      </c>
      <c r="E1921" s="895">
        <v>13800</v>
      </c>
      <c r="F1921" s="1249"/>
      <c r="G1921" s="1251"/>
    </row>
    <row r="1922" spans="3:7">
      <c r="C1922" s="981">
        <v>42380</v>
      </c>
      <c r="D1922" s="980">
        <v>114.81</v>
      </c>
      <c r="E1922" s="895">
        <v>13800</v>
      </c>
      <c r="F1922" s="1249"/>
      <c r="G1922" s="1251"/>
    </row>
    <row r="1923" spans="3:7">
      <c r="C1923" s="981">
        <v>42381</v>
      </c>
      <c r="D1923" s="980">
        <v>114.81</v>
      </c>
      <c r="E1923" s="895">
        <v>13800</v>
      </c>
      <c r="F1923" s="1249"/>
      <c r="G1923" s="1251"/>
    </row>
    <row r="1924" spans="3:7">
      <c r="C1924" s="981">
        <v>42382</v>
      </c>
      <c r="D1924" s="980">
        <v>118.09</v>
      </c>
      <c r="E1924" s="895">
        <v>13926</v>
      </c>
      <c r="F1924" s="1249"/>
      <c r="G1924" s="1251"/>
    </row>
    <row r="1925" spans="3:7">
      <c r="C1925" s="981">
        <v>42383</v>
      </c>
      <c r="D1925" s="980">
        <v>118.09</v>
      </c>
      <c r="E1925" s="895">
        <v>13926</v>
      </c>
      <c r="F1925" s="1249"/>
      <c r="G1925" s="1251"/>
    </row>
    <row r="1926" spans="3:7" ht="15.75" customHeight="1">
      <c r="C1926" s="981">
        <v>42384</v>
      </c>
      <c r="D1926" s="980">
        <v>118.09</v>
      </c>
      <c r="E1926" s="895">
        <v>13926</v>
      </c>
      <c r="F1926" s="1249"/>
      <c r="G1926" s="1251"/>
    </row>
    <row r="1927" spans="3:7" ht="15.75" customHeight="1">
      <c r="C1927" s="981">
        <v>42385</v>
      </c>
      <c r="D1927" s="980">
        <v>118.09</v>
      </c>
      <c r="E1927" s="895">
        <v>13926</v>
      </c>
      <c r="F1927" s="1249"/>
      <c r="G1927" s="1251"/>
    </row>
    <row r="1928" spans="3:7">
      <c r="C1928" s="981">
        <v>42386</v>
      </c>
      <c r="D1928" s="980">
        <v>118.09</v>
      </c>
      <c r="E1928" s="895">
        <v>13926</v>
      </c>
      <c r="F1928" s="1249"/>
      <c r="G1928" s="1251"/>
    </row>
    <row r="1929" spans="3:7">
      <c r="C1929" s="981">
        <v>42387</v>
      </c>
      <c r="D1929" s="980">
        <v>118.09</v>
      </c>
      <c r="E1929" s="895">
        <v>13926</v>
      </c>
      <c r="F1929" s="1249"/>
      <c r="G1929" s="1251"/>
    </row>
    <row r="1930" spans="3:7">
      <c r="C1930" s="981">
        <v>42388</v>
      </c>
      <c r="D1930" s="980">
        <v>118.09</v>
      </c>
      <c r="E1930" s="895">
        <v>13926</v>
      </c>
      <c r="F1930" s="1249"/>
      <c r="G1930" s="1251"/>
    </row>
    <row r="1931" spans="3:7">
      <c r="C1931" s="981">
        <v>42389</v>
      </c>
      <c r="D1931" s="980">
        <v>118.26</v>
      </c>
      <c r="E1931" s="895">
        <v>13899</v>
      </c>
      <c r="F1931" s="1249"/>
      <c r="G1931" s="1251"/>
    </row>
    <row r="1932" spans="3:7">
      <c r="C1932" s="981">
        <v>42390</v>
      </c>
      <c r="D1932" s="980">
        <v>118.26</v>
      </c>
      <c r="E1932" s="895">
        <v>13899</v>
      </c>
      <c r="F1932" s="1249"/>
      <c r="G1932" s="1251"/>
    </row>
    <row r="1933" spans="3:7">
      <c r="C1933" s="981">
        <v>42391</v>
      </c>
      <c r="D1933" s="980">
        <v>118.26</v>
      </c>
      <c r="E1933" s="895">
        <v>13899</v>
      </c>
      <c r="F1933" s="1249"/>
      <c r="G1933" s="1251"/>
    </row>
    <row r="1934" spans="3:7">
      <c r="C1934" s="981">
        <v>42392</v>
      </c>
      <c r="D1934" s="980">
        <v>118.26</v>
      </c>
      <c r="E1934" s="895">
        <v>13899</v>
      </c>
      <c r="F1934" s="1249"/>
      <c r="G1934" s="1251"/>
    </row>
    <row r="1935" spans="3:7">
      <c r="C1935" s="981">
        <v>42393</v>
      </c>
      <c r="D1935" s="980">
        <v>118.26</v>
      </c>
      <c r="E1935" s="895">
        <v>13899</v>
      </c>
      <c r="F1935" s="1249"/>
      <c r="G1935" s="1251"/>
    </row>
    <row r="1936" spans="3:7">
      <c r="C1936" s="981">
        <v>42394</v>
      </c>
      <c r="D1936" s="980">
        <v>118.26</v>
      </c>
      <c r="E1936" s="895">
        <v>13899</v>
      </c>
      <c r="F1936" s="1249"/>
      <c r="G1936" s="1251"/>
    </row>
    <row r="1937" spans="3:7">
      <c r="C1937" s="981">
        <v>42395</v>
      </c>
      <c r="D1937" s="980">
        <v>118.26</v>
      </c>
      <c r="E1937" s="895">
        <v>13899</v>
      </c>
      <c r="F1937" s="1249"/>
      <c r="G1937" s="1251"/>
    </row>
    <row r="1938" spans="3:7">
      <c r="C1938" s="981">
        <v>42396</v>
      </c>
      <c r="D1938" s="980">
        <v>117.7</v>
      </c>
      <c r="E1938" s="895">
        <v>13883</v>
      </c>
      <c r="F1938" s="1249"/>
      <c r="G1938" s="1251"/>
    </row>
    <row r="1939" spans="3:7">
      <c r="C1939" s="981">
        <v>42397</v>
      </c>
      <c r="D1939" s="980">
        <v>117.7</v>
      </c>
      <c r="E1939" s="895">
        <v>13883</v>
      </c>
      <c r="F1939" s="1249"/>
      <c r="G1939" s="1251"/>
    </row>
    <row r="1940" spans="3:7">
      <c r="C1940" s="981">
        <v>42398</v>
      </c>
      <c r="D1940" s="980">
        <v>117.7</v>
      </c>
      <c r="E1940" s="895">
        <v>13883</v>
      </c>
      <c r="F1940" s="1249"/>
      <c r="G1940" s="1251"/>
    </row>
    <row r="1941" spans="3:7">
      <c r="C1941" s="981">
        <v>42399</v>
      </c>
      <c r="D1941" s="980">
        <v>117.7</v>
      </c>
      <c r="E1941" s="895">
        <v>13883</v>
      </c>
      <c r="F1941" s="1249"/>
      <c r="G1941" s="1251"/>
    </row>
    <row r="1942" spans="3:7">
      <c r="C1942" s="981">
        <v>42400</v>
      </c>
      <c r="D1942" s="980">
        <v>117.7</v>
      </c>
      <c r="E1942" s="895">
        <v>13883</v>
      </c>
      <c r="F1942" s="1252"/>
      <c r="G1942" s="1251"/>
    </row>
    <row r="1943" spans="3:7">
      <c r="C1943" s="981">
        <v>42401</v>
      </c>
      <c r="D1943" s="980">
        <v>117.7</v>
      </c>
      <c r="E1943" s="895">
        <v>13883</v>
      </c>
      <c r="F1943" s="1252"/>
      <c r="G1943" s="1251"/>
    </row>
    <row r="1944" spans="3:7">
      <c r="C1944" s="981">
        <v>42402</v>
      </c>
      <c r="D1944" s="980">
        <v>117.7</v>
      </c>
      <c r="E1944" s="895">
        <v>13883</v>
      </c>
      <c r="F1944" s="1252"/>
      <c r="G1944" s="1251"/>
    </row>
    <row r="1945" spans="3:7">
      <c r="C1945" s="981">
        <v>42403</v>
      </c>
      <c r="D1945" s="980">
        <v>115.49</v>
      </c>
      <c r="E1945" s="895">
        <v>13820</v>
      </c>
      <c r="F1945" s="1252"/>
      <c r="G1945" s="1251"/>
    </row>
    <row r="1946" spans="3:7">
      <c r="C1946" s="981">
        <v>42404</v>
      </c>
      <c r="D1946" s="980">
        <v>115.49</v>
      </c>
      <c r="E1946" s="895">
        <v>13820</v>
      </c>
      <c r="F1946" s="1252"/>
      <c r="G1946" s="1251"/>
    </row>
    <row r="1947" spans="3:7">
      <c r="C1947" s="981">
        <v>42405</v>
      </c>
      <c r="D1947" s="980">
        <v>115.49</v>
      </c>
      <c r="E1947" s="895">
        <v>13820</v>
      </c>
      <c r="F1947" s="1252"/>
      <c r="G1947" s="1251"/>
    </row>
    <row r="1948" spans="3:7">
      <c r="C1948" s="981">
        <v>42406</v>
      </c>
      <c r="D1948" s="980">
        <v>115.49</v>
      </c>
      <c r="E1948" s="895">
        <v>13820</v>
      </c>
      <c r="F1948" s="1252"/>
      <c r="G1948" s="1251"/>
    </row>
    <row r="1949" spans="3:7">
      <c r="C1949" s="981">
        <v>42407</v>
      </c>
      <c r="D1949" s="980">
        <v>115.49</v>
      </c>
      <c r="E1949" s="895">
        <v>13820</v>
      </c>
      <c r="F1949" s="1252"/>
      <c r="G1949" s="1251"/>
    </row>
    <row r="1950" spans="3:7">
      <c r="C1950" s="981">
        <v>42408</v>
      </c>
      <c r="D1950" s="980">
        <v>115.49</v>
      </c>
      <c r="E1950" s="895">
        <v>13820</v>
      </c>
      <c r="F1950" s="1252"/>
      <c r="G1950" s="1251"/>
    </row>
    <row r="1951" spans="3:7">
      <c r="C1951" s="981">
        <v>42409</v>
      </c>
      <c r="D1951" s="980">
        <v>115.49</v>
      </c>
      <c r="E1951" s="895">
        <v>13820</v>
      </c>
      <c r="F1951" s="1252"/>
      <c r="G1951" s="1251"/>
    </row>
    <row r="1952" spans="3:7">
      <c r="C1952" s="981">
        <v>42410</v>
      </c>
      <c r="D1952" s="980">
        <v>117.18</v>
      </c>
      <c r="E1952" s="895">
        <v>13658</v>
      </c>
      <c r="F1952" s="1252"/>
      <c r="G1952" s="1251"/>
    </row>
    <row r="1953" spans="3:7">
      <c r="C1953" s="981">
        <v>42411</v>
      </c>
      <c r="D1953" s="980">
        <v>117.18</v>
      </c>
      <c r="E1953" s="895">
        <v>13658</v>
      </c>
      <c r="F1953" s="1252"/>
      <c r="G1953" s="1251"/>
    </row>
    <row r="1954" spans="3:7">
      <c r="C1954" s="981">
        <v>42412</v>
      </c>
      <c r="D1954" s="980">
        <v>117.18</v>
      </c>
      <c r="E1954" s="895">
        <v>13658</v>
      </c>
      <c r="F1954" s="1252"/>
      <c r="G1954" s="1251"/>
    </row>
    <row r="1955" spans="3:7">
      <c r="C1955" s="981">
        <v>42413</v>
      </c>
      <c r="D1955" s="980">
        <v>117.18</v>
      </c>
      <c r="E1955" s="895">
        <v>13658</v>
      </c>
      <c r="F1955" s="1252"/>
      <c r="G1955" s="1251"/>
    </row>
    <row r="1956" spans="3:7">
      <c r="C1956" s="981">
        <v>42414</v>
      </c>
      <c r="D1956" s="980">
        <v>117.18</v>
      </c>
      <c r="E1956" s="895">
        <v>13658</v>
      </c>
      <c r="F1956" s="1252"/>
      <c r="G1956" s="1251"/>
    </row>
    <row r="1957" spans="3:7">
      <c r="C1957" s="981">
        <v>42415</v>
      </c>
      <c r="D1957" s="980">
        <v>117.18</v>
      </c>
      <c r="E1957" s="895">
        <v>13658</v>
      </c>
      <c r="G1957" s="1251"/>
    </row>
    <row r="1958" spans="3:7">
      <c r="C1958" s="981">
        <v>42416</v>
      </c>
      <c r="D1958" s="980">
        <v>117.18</v>
      </c>
      <c r="E1958" s="895">
        <v>13658</v>
      </c>
      <c r="F1958" s="1252"/>
      <c r="G1958" s="1251"/>
    </row>
    <row r="1959" spans="3:7">
      <c r="C1959" s="981">
        <v>42417</v>
      </c>
      <c r="D1959" s="980">
        <v>118.65</v>
      </c>
      <c r="E1959" s="895">
        <v>13480</v>
      </c>
      <c r="F1959" s="1252"/>
      <c r="G1959" s="1251"/>
    </row>
    <row r="1960" spans="3:7">
      <c r="C1960" s="981">
        <v>42418</v>
      </c>
      <c r="D1960" s="980">
        <v>118.65</v>
      </c>
      <c r="E1960" s="895">
        <v>13480</v>
      </c>
      <c r="F1960" s="1252"/>
      <c r="G1960" s="1251"/>
    </row>
    <row r="1961" spans="3:7">
      <c r="C1961" s="981">
        <v>42419</v>
      </c>
      <c r="D1961" s="980">
        <v>118.65</v>
      </c>
      <c r="E1961" s="895">
        <v>13480</v>
      </c>
      <c r="F1961" s="1252"/>
      <c r="G1961" s="1251"/>
    </row>
    <row r="1962" spans="3:7">
      <c r="C1962" s="981">
        <v>42420</v>
      </c>
      <c r="D1962" s="980">
        <v>118.65</v>
      </c>
      <c r="E1962" s="895">
        <v>13480</v>
      </c>
      <c r="G1962" s="1251"/>
    </row>
    <row r="1963" spans="3:7">
      <c r="C1963" s="981">
        <v>42421</v>
      </c>
      <c r="D1963" s="980">
        <v>118.65</v>
      </c>
      <c r="E1963" s="895">
        <v>13480</v>
      </c>
      <c r="F1963" s="1252"/>
      <c r="G1963" s="1251"/>
    </row>
    <row r="1964" spans="3:7">
      <c r="C1964" s="981">
        <v>42422</v>
      </c>
      <c r="D1964" s="980">
        <v>118.65</v>
      </c>
      <c r="E1964" s="895">
        <v>13480</v>
      </c>
      <c r="F1964" s="1252"/>
      <c r="G1964" s="1251"/>
    </row>
    <row r="1965" spans="3:7">
      <c r="C1965" s="981">
        <v>42423</v>
      </c>
      <c r="D1965" s="980">
        <v>118.65</v>
      </c>
      <c r="E1965" s="895">
        <v>13480</v>
      </c>
      <c r="F1965" s="1252"/>
      <c r="G1965" s="1251"/>
    </row>
    <row r="1966" spans="3:7">
      <c r="C1966" s="981">
        <v>42424</v>
      </c>
      <c r="D1966" s="980">
        <v>119.13</v>
      </c>
      <c r="E1966" s="895">
        <v>13475</v>
      </c>
      <c r="F1966" s="1252"/>
      <c r="G1966" s="1251"/>
    </row>
    <row r="1967" spans="3:7">
      <c r="C1967" s="981">
        <v>42425</v>
      </c>
      <c r="D1967" s="980">
        <v>119.13</v>
      </c>
      <c r="E1967" s="895">
        <v>13475</v>
      </c>
      <c r="F1967" s="1252"/>
      <c r="G1967" s="1251"/>
    </row>
    <row r="1968" spans="3:7">
      <c r="C1968" s="981">
        <v>42426</v>
      </c>
      <c r="D1968" s="980">
        <v>119.13</v>
      </c>
      <c r="E1968" s="895">
        <v>13475</v>
      </c>
      <c r="G1968" s="1251"/>
    </row>
    <row r="1969" spans="3:7">
      <c r="C1969" s="981">
        <v>42427</v>
      </c>
      <c r="D1969" s="980">
        <v>119.13</v>
      </c>
      <c r="E1969" s="895">
        <v>13475</v>
      </c>
      <c r="F1969" s="1252"/>
      <c r="G1969" s="1251"/>
    </row>
    <row r="1970" spans="3:7">
      <c r="C1970" s="981">
        <v>42428</v>
      </c>
      <c r="D1970" s="980">
        <v>119.13</v>
      </c>
      <c r="E1970" s="895">
        <v>13475</v>
      </c>
      <c r="F1970" s="1252"/>
      <c r="G1970" s="1251"/>
    </row>
    <row r="1971" spans="3:7">
      <c r="C1971" s="981">
        <v>42429</v>
      </c>
      <c r="D1971" s="980">
        <v>119.13</v>
      </c>
      <c r="E1971" s="895">
        <v>13475</v>
      </c>
      <c r="G1971" s="1251"/>
    </row>
    <row r="1972" spans="3:7">
      <c r="C1972" s="981">
        <v>42430</v>
      </c>
      <c r="D1972" s="980">
        <v>119.13</v>
      </c>
      <c r="E1972" s="895">
        <v>13475</v>
      </c>
      <c r="F1972" s="1252"/>
      <c r="G1972" s="1251"/>
    </row>
    <row r="1973" spans="3:7">
      <c r="C1973" s="981">
        <v>42431</v>
      </c>
      <c r="D1973" s="980">
        <v>118.69</v>
      </c>
      <c r="E1973" s="895">
        <v>13407</v>
      </c>
      <c r="F1973" s="1252"/>
      <c r="G1973" s="1251"/>
    </row>
    <row r="1974" spans="3:7">
      <c r="C1974" s="981">
        <v>42432</v>
      </c>
      <c r="D1974" s="980">
        <v>118.69</v>
      </c>
      <c r="E1974" s="895">
        <v>13407</v>
      </c>
      <c r="F1974" s="1252"/>
      <c r="G1974" s="1251"/>
    </row>
    <row r="1975" spans="3:7">
      <c r="C1975" s="981">
        <v>42433</v>
      </c>
      <c r="D1975" s="980">
        <v>118.69</v>
      </c>
      <c r="E1975" s="895">
        <v>13407</v>
      </c>
      <c r="F1975" s="1252"/>
      <c r="G1975" s="1251"/>
    </row>
    <row r="1976" spans="3:7">
      <c r="C1976" s="981">
        <v>42434</v>
      </c>
      <c r="D1976" s="980">
        <v>118.69</v>
      </c>
      <c r="E1976" s="895">
        <v>13407</v>
      </c>
      <c r="F1976" s="1252"/>
      <c r="G1976" s="1251"/>
    </row>
    <row r="1977" spans="3:7">
      <c r="C1977" s="981">
        <v>42435</v>
      </c>
      <c r="D1977" s="980">
        <v>118.69</v>
      </c>
      <c r="E1977" s="895">
        <v>13407</v>
      </c>
      <c r="G1977" s="1251"/>
    </row>
    <row r="1978" spans="3:7">
      <c r="C1978" s="981">
        <v>42436</v>
      </c>
      <c r="D1978" s="980">
        <v>118.69</v>
      </c>
      <c r="E1978" s="895">
        <v>13407</v>
      </c>
      <c r="F1978" s="1252"/>
      <c r="G1978" s="1251"/>
    </row>
    <row r="1979" spans="3:7">
      <c r="C1979" s="981">
        <v>42437</v>
      </c>
      <c r="D1979" s="980">
        <v>118.69</v>
      </c>
      <c r="E1979" s="895">
        <v>13407</v>
      </c>
      <c r="F1979" s="1252"/>
      <c r="G1979" s="1251"/>
    </row>
    <row r="1980" spans="3:7">
      <c r="C1980" s="981">
        <v>42438</v>
      </c>
      <c r="D1980" s="980">
        <v>116.13</v>
      </c>
      <c r="E1980" s="895">
        <v>13204</v>
      </c>
      <c r="F1980" s="1252"/>
      <c r="G1980" s="1251"/>
    </row>
    <row r="1981" spans="3:7">
      <c r="C1981" s="981">
        <v>42439</v>
      </c>
      <c r="D1981" s="980">
        <v>116.13</v>
      </c>
      <c r="E1981" s="895">
        <v>13204</v>
      </c>
      <c r="F1981" s="1252"/>
      <c r="G1981" s="1251"/>
    </row>
    <row r="1982" spans="3:7">
      <c r="C1982" s="981">
        <v>42440</v>
      </c>
      <c r="D1982" s="980">
        <v>116.13</v>
      </c>
      <c r="E1982" s="895">
        <v>13204</v>
      </c>
      <c r="G1982" s="1251"/>
    </row>
    <row r="1983" spans="3:7">
      <c r="C1983" s="981">
        <v>42441</v>
      </c>
      <c r="D1983" s="980">
        <v>116.13</v>
      </c>
      <c r="E1983" s="895">
        <v>13204</v>
      </c>
      <c r="F1983" s="1252"/>
      <c r="G1983" s="1251"/>
    </row>
    <row r="1984" spans="3:7">
      <c r="C1984" s="981">
        <v>42442</v>
      </c>
      <c r="D1984" s="980">
        <v>116.13</v>
      </c>
      <c r="E1984" s="895">
        <v>13204</v>
      </c>
      <c r="F1984" s="1252"/>
      <c r="G1984" s="1251"/>
    </row>
    <row r="1985" spans="3:7">
      <c r="C1985" s="981">
        <v>42443</v>
      </c>
      <c r="D1985" s="980">
        <v>116.13</v>
      </c>
      <c r="E1985" s="895">
        <v>13204</v>
      </c>
      <c r="F1985" s="1252"/>
      <c r="G1985" s="1251"/>
    </row>
    <row r="1986" spans="3:7">
      <c r="C1986" s="981">
        <v>42444</v>
      </c>
      <c r="D1986" s="980">
        <v>116.13</v>
      </c>
      <c r="E1986" s="895">
        <v>13204</v>
      </c>
      <c r="F1986" s="1252"/>
      <c r="G1986" s="1251"/>
    </row>
    <row r="1987" spans="3:7">
      <c r="C1987" s="981">
        <v>42445</v>
      </c>
      <c r="D1987" s="980">
        <v>115.45</v>
      </c>
      <c r="E1987" s="895">
        <v>13091</v>
      </c>
      <c r="G1987" s="1251"/>
    </row>
    <row r="1988" spans="3:7">
      <c r="C1988" s="981">
        <v>42446</v>
      </c>
      <c r="D1988" s="980">
        <v>115.45</v>
      </c>
      <c r="E1988" s="895">
        <v>13091</v>
      </c>
      <c r="F1988" s="1252"/>
      <c r="G1988" s="1251"/>
    </row>
    <row r="1989" spans="3:7">
      <c r="C1989" s="981">
        <v>42447</v>
      </c>
      <c r="D1989" s="980">
        <v>115.45</v>
      </c>
      <c r="E1989" s="895">
        <v>13091</v>
      </c>
      <c r="F1989" s="1252"/>
      <c r="G1989" s="1251"/>
    </row>
    <row r="1990" spans="3:7">
      <c r="C1990" s="981">
        <v>42448</v>
      </c>
      <c r="D1990" s="980">
        <v>115.45</v>
      </c>
      <c r="E1990" s="895">
        <v>13091</v>
      </c>
      <c r="F1990" s="1252"/>
      <c r="G1990" s="1251"/>
    </row>
    <row r="1991" spans="3:7">
      <c r="C1991" s="981">
        <v>42449</v>
      </c>
      <c r="D1991" s="980">
        <v>115.45</v>
      </c>
      <c r="E1991" s="895">
        <v>13091</v>
      </c>
      <c r="F1991" s="1252"/>
      <c r="G1991" s="1251"/>
    </row>
    <row r="1992" spans="3:7">
      <c r="C1992" s="981">
        <v>42450</v>
      </c>
      <c r="D1992" s="980">
        <v>115.45</v>
      </c>
      <c r="E1992" s="895">
        <v>13091</v>
      </c>
      <c r="F1992" s="1252"/>
      <c r="G1992" s="1251"/>
    </row>
    <row r="1993" spans="3:7">
      <c r="C1993" s="981">
        <v>42451</v>
      </c>
      <c r="D1993" s="980">
        <v>115.45</v>
      </c>
      <c r="E1993" s="895">
        <v>13091</v>
      </c>
      <c r="G1993" s="1251"/>
    </row>
    <row r="1994" spans="3:7">
      <c r="C1994" s="981">
        <v>42452</v>
      </c>
      <c r="D1994" s="980">
        <v>117.45</v>
      </c>
      <c r="E1994" s="895">
        <v>13156</v>
      </c>
      <c r="F1994" s="1252"/>
      <c r="G1994" s="1251"/>
    </row>
    <row r="1995" spans="3:7">
      <c r="C1995" s="981">
        <v>42453</v>
      </c>
      <c r="D1995" s="980">
        <v>117.45</v>
      </c>
      <c r="E1995" s="895">
        <v>13156</v>
      </c>
      <c r="F1995" s="1252"/>
      <c r="G1995" s="1251"/>
    </row>
    <row r="1996" spans="3:7">
      <c r="C1996" s="981">
        <v>42454</v>
      </c>
      <c r="D1996" s="980">
        <v>117.45</v>
      </c>
      <c r="E1996" s="895">
        <v>13156</v>
      </c>
      <c r="F1996" s="1252"/>
      <c r="G1996" s="1251"/>
    </row>
    <row r="1997" spans="3:7">
      <c r="C1997" s="981">
        <v>42455</v>
      </c>
      <c r="D1997" s="980">
        <v>117.45</v>
      </c>
      <c r="E1997" s="895">
        <v>13156</v>
      </c>
      <c r="F1997" s="1252"/>
      <c r="G1997" s="1251"/>
    </row>
    <row r="1998" spans="3:7">
      <c r="C1998" s="981">
        <v>42456</v>
      </c>
      <c r="D1998" s="980">
        <v>117.45</v>
      </c>
      <c r="E1998" s="895">
        <v>13156</v>
      </c>
      <c r="G1998" s="1251"/>
    </row>
    <row r="1999" spans="3:7">
      <c r="C1999" s="981">
        <v>42457</v>
      </c>
      <c r="D1999" s="980">
        <v>117.45</v>
      </c>
      <c r="E1999" s="895">
        <v>13156</v>
      </c>
      <c r="F1999" s="1252"/>
      <c r="G1999" s="1251"/>
    </row>
    <row r="2000" spans="3:7">
      <c r="C2000" s="981">
        <v>42458</v>
      </c>
      <c r="D2000" s="980">
        <v>117.45</v>
      </c>
      <c r="E2000" s="895">
        <v>13156</v>
      </c>
      <c r="F2000" s="1252"/>
      <c r="G2000" s="1251"/>
    </row>
    <row r="2001" spans="3:7">
      <c r="C2001" s="981">
        <v>42459</v>
      </c>
      <c r="D2001" s="980">
        <v>117.25</v>
      </c>
      <c r="E2001" s="895">
        <v>13233</v>
      </c>
      <c r="F2001" s="1252"/>
      <c r="G2001" s="1251"/>
    </row>
    <row r="2002" spans="3:7">
      <c r="C2002" s="981">
        <v>42460</v>
      </c>
      <c r="D2002" s="980">
        <v>117.25</v>
      </c>
      <c r="E2002" s="895">
        <v>13233</v>
      </c>
      <c r="F2002" s="1252"/>
      <c r="G2002" s="1251"/>
    </row>
    <row r="2003" spans="3:7">
      <c r="C2003" s="981">
        <v>42461</v>
      </c>
      <c r="D2003" s="980">
        <v>117.25</v>
      </c>
      <c r="E2003" s="895">
        <v>13233</v>
      </c>
      <c r="G2003" s="1251"/>
    </row>
    <row r="2004" spans="3:7">
      <c r="C2004" s="981">
        <v>42462</v>
      </c>
      <c r="D2004" s="980">
        <v>117.25</v>
      </c>
      <c r="E2004" s="895">
        <v>13233</v>
      </c>
      <c r="F2004" s="1252"/>
      <c r="G2004" s="1251"/>
    </row>
    <row r="2005" spans="3:7">
      <c r="C2005" s="981">
        <v>42463</v>
      </c>
      <c r="D2005" s="980">
        <v>117.25</v>
      </c>
      <c r="E2005" s="895">
        <v>13233</v>
      </c>
      <c r="F2005" s="1252"/>
      <c r="G2005" s="1251"/>
    </row>
    <row r="2006" spans="3:7">
      <c r="C2006" s="981">
        <v>42464</v>
      </c>
      <c r="D2006" s="980">
        <v>117.25</v>
      </c>
      <c r="E2006" s="895">
        <v>13233</v>
      </c>
      <c r="F2006" s="1252"/>
      <c r="G2006" s="1251"/>
    </row>
    <row r="2007" spans="3:7">
      <c r="C2007" s="981">
        <v>42465</v>
      </c>
      <c r="D2007" s="980">
        <v>117.25</v>
      </c>
      <c r="E2007" s="895">
        <v>13233</v>
      </c>
      <c r="F2007" s="1252"/>
      <c r="G2007" s="1251"/>
    </row>
    <row r="2008" spans="3:7">
      <c r="C2008" s="981">
        <v>42466</v>
      </c>
      <c r="D2008" s="980">
        <v>118.04</v>
      </c>
      <c r="E2008" s="895">
        <v>13241</v>
      </c>
      <c r="G2008" s="1251"/>
    </row>
    <row r="2009" spans="3:7">
      <c r="C2009" s="981">
        <v>42467</v>
      </c>
      <c r="D2009" s="980">
        <v>118.04</v>
      </c>
      <c r="E2009" s="895">
        <v>13241</v>
      </c>
      <c r="F2009" s="1252"/>
      <c r="G2009" s="1251"/>
    </row>
    <row r="2010" spans="3:7">
      <c r="C2010" s="981">
        <v>42468</v>
      </c>
      <c r="D2010" s="980">
        <v>118.04</v>
      </c>
      <c r="E2010" s="895">
        <v>13241</v>
      </c>
      <c r="F2010" s="1252"/>
      <c r="G2010" s="1251"/>
    </row>
    <row r="2011" spans="3:7">
      <c r="C2011" s="981">
        <v>42469</v>
      </c>
      <c r="D2011" s="980">
        <v>118.04</v>
      </c>
      <c r="E2011" s="895">
        <v>13241</v>
      </c>
      <c r="F2011" s="1252"/>
      <c r="G2011" s="1251"/>
    </row>
    <row r="2012" spans="3:7">
      <c r="C2012" s="981">
        <v>42470</v>
      </c>
      <c r="D2012" s="980">
        <v>118.04</v>
      </c>
      <c r="E2012" s="895">
        <v>13241</v>
      </c>
      <c r="F2012" s="1252"/>
      <c r="G2012" s="1251"/>
    </row>
    <row r="2013" spans="3:7">
      <c r="C2013" s="981">
        <v>42471</v>
      </c>
      <c r="D2013" s="980">
        <v>118.04</v>
      </c>
      <c r="E2013" s="895">
        <v>13241</v>
      </c>
      <c r="F2013" s="1252"/>
      <c r="G2013" s="1251"/>
    </row>
    <row r="2014" spans="3:7">
      <c r="C2014" s="981">
        <v>42472</v>
      </c>
      <c r="D2014" s="980">
        <v>118.04</v>
      </c>
      <c r="E2014" s="895">
        <v>13241</v>
      </c>
      <c r="F2014" s="1252"/>
      <c r="G2014" s="1251"/>
    </row>
    <row r="2015" spans="3:7">
      <c r="C2015" s="981">
        <v>42473</v>
      </c>
      <c r="D2015" s="980">
        <v>121.06</v>
      </c>
      <c r="E2015" s="895">
        <v>13179</v>
      </c>
      <c r="G2015" s="1251"/>
    </row>
    <row r="2016" spans="3:7">
      <c r="C2016" s="981">
        <v>42474</v>
      </c>
      <c r="D2016" s="980">
        <v>121.06</v>
      </c>
      <c r="E2016" s="895">
        <v>13179</v>
      </c>
      <c r="G2016" s="1251"/>
    </row>
    <row r="2017" spans="3:7">
      <c r="C2017" s="981">
        <v>42475</v>
      </c>
      <c r="D2017" s="980">
        <v>121.06</v>
      </c>
      <c r="E2017" s="895">
        <v>13179</v>
      </c>
      <c r="G2017" s="1251"/>
    </row>
    <row r="2018" spans="3:7">
      <c r="C2018" s="981">
        <v>42476</v>
      </c>
      <c r="D2018" s="980">
        <v>121.06</v>
      </c>
      <c r="E2018" s="895">
        <v>13179</v>
      </c>
      <c r="G2018" s="1251"/>
    </row>
    <row r="2019" spans="3:7">
      <c r="C2019" s="981">
        <v>42477</v>
      </c>
      <c r="D2019" s="980">
        <v>121.06</v>
      </c>
      <c r="E2019" s="895">
        <v>13179</v>
      </c>
      <c r="G2019" s="1251"/>
    </row>
    <row r="2020" spans="3:7">
      <c r="C2020" s="981">
        <v>42478</v>
      </c>
      <c r="D2020" s="980">
        <v>121.06</v>
      </c>
      <c r="E2020" s="895">
        <v>13179</v>
      </c>
      <c r="G2020" s="1251"/>
    </row>
    <row r="2021" spans="3:7">
      <c r="C2021" s="981">
        <v>42479</v>
      </c>
      <c r="D2021" s="980">
        <v>121.06</v>
      </c>
      <c r="E2021" s="895">
        <v>13179</v>
      </c>
      <c r="G2021" s="1251"/>
    </row>
    <row r="2022" spans="3:7">
      <c r="C2022" s="981">
        <v>42480</v>
      </c>
      <c r="D2022" s="980">
        <v>121.03</v>
      </c>
      <c r="E2022" s="895">
        <v>13168</v>
      </c>
      <c r="G2022" s="1251"/>
    </row>
    <row r="2023" spans="3:7">
      <c r="C2023" s="981">
        <v>42481</v>
      </c>
      <c r="D2023" s="980">
        <v>121.03</v>
      </c>
      <c r="E2023" s="895">
        <v>13168</v>
      </c>
      <c r="G2023" s="1251"/>
    </row>
    <row r="2024" spans="3:7">
      <c r="C2024" s="981">
        <v>42482</v>
      </c>
      <c r="D2024" s="980">
        <v>121.03</v>
      </c>
      <c r="E2024" s="895">
        <v>13168</v>
      </c>
      <c r="G2024" s="1251"/>
    </row>
    <row r="2025" spans="3:7">
      <c r="C2025" s="981">
        <v>42483</v>
      </c>
      <c r="D2025" s="980">
        <v>121.03</v>
      </c>
      <c r="E2025" s="895">
        <v>13168</v>
      </c>
      <c r="G2025" s="1251"/>
    </row>
    <row r="2026" spans="3:7">
      <c r="C2026" s="981">
        <v>42484</v>
      </c>
      <c r="D2026" s="980">
        <v>121.03</v>
      </c>
      <c r="E2026" s="895">
        <v>13168</v>
      </c>
      <c r="G2026" s="1251"/>
    </row>
    <row r="2027" spans="3:7">
      <c r="C2027" s="981">
        <v>42485</v>
      </c>
      <c r="D2027" s="980">
        <v>121.03</v>
      </c>
      <c r="E2027" s="895">
        <v>13168</v>
      </c>
      <c r="G2027" s="1251"/>
    </row>
    <row r="2028" spans="3:7">
      <c r="C2028" s="981">
        <v>42486</v>
      </c>
      <c r="D2028" s="980">
        <v>121.03</v>
      </c>
      <c r="E2028" s="895">
        <v>13168</v>
      </c>
      <c r="G2028" s="1251"/>
    </row>
    <row r="2029" spans="3:7">
      <c r="C2029" s="981">
        <v>42487</v>
      </c>
      <c r="D2029" s="980">
        <v>119.41</v>
      </c>
      <c r="E2029" s="895">
        <v>13173</v>
      </c>
      <c r="G2029" s="1251"/>
    </row>
    <row r="2030" spans="3:7">
      <c r="C2030" s="981">
        <v>42488</v>
      </c>
      <c r="D2030" s="980">
        <v>119.41</v>
      </c>
      <c r="E2030" s="895">
        <v>13173</v>
      </c>
      <c r="G2030" s="1251"/>
    </row>
    <row r="2031" spans="3:7">
      <c r="C2031" s="981">
        <v>42489</v>
      </c>
      <c r="D2031" s="980">
        <v>119.41</v>
      </c>
      <c r="E2031" s="895">
        <v>13173</v>
      </c>
      <c r="G2031" s="1251"/>
    </row>
    <row r="2032" spans="3:7">
      <c r="C2032" s="981">
        <v>42490</v>
      </c>
      <c r="D2032" s="980">
        <v>119.41</v>
      </c>
      <c r="E2032" s="895">
        <v>13173</v>
      </c>
      <c r="G2032" s="1251"/>
    </row>
    <row r="2033" spans="3:7">
      <c r="C2033" s="981">
        <v>42491</v>
      </c>
      <c r="D2033" s="980">
        <v>119.41</v>
      </c>
      <c r="E2033" s="895">
        <v>13173</v>
      </c>
      <c r="G2033" s="1251"/>
    </row>
    <row r="2034" spans="3:7">
      <c r="C2034" s="981">
        <v>42492</v>
      </c>
      <c r="D2034" s="980">
        <v>119.41</v>
      </c>
      <c r="E2034" s="895">
        <v>13173</v>
      </c>
      <c r="G2034" s="1251"/>
    </row>
    <row r="2035" spans="3:7">
      <c r="C2035" s="981">
        <v>42493</v>
      </c>
      <c r="D2035" s="980">
        <v>119.41</v>
      </c>
      <c r="E2035" s="895">
        <v>13173</v>
      </c>
      <c r="G2035" s="1251"/>
    </row>
    <row r="2036" spans="3:7">
      <c r="C2036" s="981">
        <v>42494</v>
      </c>
      <c r="D2036" s="980">
        <v>121.34</v>
      </c>
      <c r="E2036" s="895">
        <v>13195</v>
      </c>
      <c r="G2036" s="1251"/>
    </row>
    <row r="2037" spans="3:7">
      <c r="C2037" s="981">
        <v>42495</v>
      </c>
      <c r="D2037" s="980">
        <v>121.34</v>
      </c>
      <c r="E2037" s="895">
        <v>13195</v>
      </c>
      <c r="G2037" s="1251"/>
    </row>
    <row r="2038" spans="3:7">
      <c r="C2038" s="981">
        <v>42496</v>
      </c>
      <c r="D2038" s="980">
        <v>121.34</v>
      </c>
      <c r="E2038" s="895">
        <v>13195</v>
      </c>
      <c r="G2038" s="1251"/>
    </row>
    <row r="2039" spans="3:7">
      <c r="C2039" s="981">
        <v>42497</v>
      </c>
      <c r="D2039" s="980">
        <v>121.34</v>
      </c>
      <c r="E2039" s="895">
        <v>13195</v>
      </c>
      <c r="G2039" s="1251"/>
    </row>
    <row r="2040" spans="3:7">
      <c r="C2040" s="981">
        <v>42498</v>
      </c>
      <c r="D2040" s="980">
        <v>121.34</v>
      </c>
      <c r="E2040" s="895">
        <v>13195</v>
      </c>
      <c r="G2040" s="1251"/>
    </row>
    <row r="2041" spans="3:7">
      <c r="C2041" s="981">
        <v>42499</v>
      </c>
      <c r="D2041" s="980">
        <v>121.34</v>
      </c>
      <c r="E2041" s="895">
        <v>13195</v>
      </c>
      <c r="G2041" s="1251"/>
    </row>
    <row r="2042" spans="3:7">
      <c r="C2042" s="981">
        <v>42500</v>
      </c>
      <c r="D2042" s="980">
        <v>121.34</v>
      </c>
      <c r="E2042" s="895">
        <v>13195</v>
      </c>
      <c r="G2042" s="1251"/>
    </row>
    <row r="2043" spans="3:7">
      <c r="C2043" s="981">
        <v>42501</v>
      </c>
      <c r="D2043" s="980">
        <v>124.07</v>
      </c>
      <c r="E2043" s="895">
        <v>13289</v>
      </c>
      <c r="G2043" s="1251"/>
    </row>
    <row r="2044" spans="3:7">
      <c r="C2044" s="981">
        <v>42502</v>
      </c>
      <c r="D2044" s="980">
        <v>124.07</v>
      </c>
      <c r="E2044" s="895">
        <v>13289</v>
      </c>
      <c r="G2044" s="1251"/>
    </row>
    <row r="2045" spans="3:7">
      <c r="C2045" s="981">
        <v>42503</v>
      </c>
      <c r="D2045" s="980">
        <v>124.07</v>
      </c>
      <c r="E2045" s="895">
        <v>13289</v>
      </c>
      <c r="G2045" s="1251"/>
    </row>
    <row r="2046" spans="3:7">
      <c r="C2046" s="981">
        <v>42504</v>
      </c>
      <c r="D2046" s="980">
        <v>124.07</v>
      </c>
      <c r="E2046" s="895">
        <v>13289</v>
      </c>
      <c r="G2046" s="1251"/>
    </row>
    <row r="2047" spans="3:7">
      <c r="C2047" s="981">
        <v>42505</v>
      </c>
      <c r="D2047" s="980">
        <v>124.07</v>
      </c>
      <c r="E2047" s="895">
        <v>13289</v>
      </c>
      <c r="G2047" s="1251"/>
    </row>
    <row r="2048" spans="3:7">
      <c r="C2048" s="981">
        <v>42506</v>
      </c>
      <c r="D2048" s="980">
        <v>124.07</v>
      </c>
      <c r="E2048" s="895">
        <v>13289</v>
      </c>
      <c r="G2048" s="1251"/>
    </row>
    <row r="2049" spans="3:7">
      <c r="C2049" s="981">
        <v>42507</v>
      </c>
      <c r="D2049" s="980">
        <v>124.07</v>
      </c>
      <c r="E2049" s="895">
        <v>13289</v>
      </c>
      <c r="G2049" s="1251"/>
    </row>
    <row r="2050" spans="3:7">
      <c r="C2050" s="981">
        <v>42508</v>
      </c>
      <c r="D2050" s="980">
        <v>122.32</v>
      </c>
      <c r="E2050" s="895">
        <v>13312</v>
      </c>
      <c r="G2050" s="1251"/>
    </row>
    <row r="2051" spans="3:7">
      <c r="C2051" s="981">
        <v>42509</v>
      </c>
      <c r="D2051" s="980">
        <v>122.32</v>
      </c>
      <c r="E2051" s="895">
        <v>13312</v>
      </c>
      <c r="G2051" s="1251"/>
    </row>
    <row r="2052" spans="3:7">
      <c r="C2052" s="981">
        <v>42510</v>
      </c>
      <c r="D2052" s="980">
        <v>122.32</v>
      </c>
      <c r="E2052" s="895">
        <v>13312</v>
      </c>
      <c r="G2052" s="1251"/>
    </row>
    <row r="2053" spans="3:7">
      <c r="C2053" s="981">
        <v>42511</v>
      </c>
      <c r="D2053" s="980">
        <v>122.32</v>
      </c>
      <c r="E2053" s="895">
        <v>13312</v>
      </c>
      <c r="G2053" s="1251"/>
    </row>
    <row r="2054" spans="3:7">
      <c r="C2054" s="981">
        <v>42512</v>
      </c>
      <c r="D2054" s="980">
        <v>122.32</v>
      </c>
      <c r="E2054" s="895">
        <v>13312</v>
      </c>
      <c r="G2054" s="1251"/>
    </row>
    <row r="2055" spans="3:7">
      <c r="C2055" s="981">
        <v>42513</v>
      </c>
      <c r="D2055" s="980">
        <v>122.32</v>
      </c>
      <c r="E2055" s="895">
        <v>13312</v>
      </c>
      <c r="G2055" s="1251"/>
    </row>
    <row r="2056" spans="3:7">
      <c r="C2056" s="981">
        <v>42514</v>
      </c>
      <c r="D2056" s="980">
        <v>122.32</v>
      </c>
      <c r="E2056" s="895">
        <v>13312</v>
      </c>
      <c r="G2056" s="1251"/>
    </row>
    <row r="2057" spans="3:7">
      <c r="C2057" s="981">
        <v>42515</v>
      </c>
      <c r="D2057" s="980">
        <v>122.79</v>
      </c>
      <c r="E2057" s="895">
        <v>13488</v>
      </c>
      <c r="G2057" s="1251"/>
    </row>
    <row r="2058" spans="3:7">
      <c r="C2058" s="981">
        <v>42516</v>
      </c>
      <c r="D2058" s="980">
        <v>122.79</v>
      </c>
      <c r="E2058" s="895">
        <v>13488</v>
      </c>
      <c r="G2058" s="1251"/>
    </row>
    <row r="2059" spans="3:7">
      <c r="C2059" s="981">
        <v>42517</v>
      </c>
      <c r="D2059" s="980">
        <v>122.79</v>
      </c>
      <c r="E2059" s="895">
        <v>13488</v>
      </c>
      <c r="G2059" s="1251"/>
    </row>
    <row r="2060" spans="3:7">
      <c r="C2060" s="981">
        <v>42518</v>
      </c>
      <c r="D2060" s="980">
        <v>122.79</v>
      </c>
      <c r="E2060" s="895">
        <v>13488</v>
      </c>
      <c r="G2060" s="1251"/>
    </row>
    <row r="2061" spans="3:7">
      <c r="C2061" s="981">
        <v>42519</v>
      </c>
      <c r="D2061" s="980">
        <v>122.79</v>
      </c>
      <c r="E2061" s="895">
        <v>13488</v>
      </c>
      <c r="G2061" s="1251"/>
    </row>
    <row r="2062" spans="3:7">
      <c r="C2062" s="981">
        <v>42520</v>
      </c>
      <c r="D2062" s="980">
        <v>122.79</v>
      </c>
      <c r="E2062" s="895">
        <v>13488</v>
      </c>
      <c r="G2062" s="1251"/>
    </row>
    <row r="2063" spans="3:7">
      <c r="C2063" s="981">
        <v>42521</v>
      </c>
      <c r="D2063" s="980">
        <v>122.79</v>
      </c>
      <c r="E2063" s="895">
        <v>13488</v>
      </c>
      <c r="G2063" s="1251"/>
    </row>
    <row r="2064" spans="3:7">
      <c r="C2064" s="981">
        <v>42522</v>
      </c>
      <c r="D2064" s="980">
        <v>123.55</v>
      </c>
      <c r="E2064" s="895">
        <v>13619</v>
      </c>
      <c r="G2064" s="1251"/>
    </row>
    <row r="2065" spans="3:7">
      <c r="C2065" s="981">
        <v>42523</v>
      </c>
      <c r="D2065" s="980">
        <v>123.55</v>
      </c>
      <c r="E2065" s="895">
        <v>13619</v>
      </c>
      <c r="G2065" s="1251"/>
    </row>
    <row r="2066" spans="3:7">
      <c r="C2066" s="981">
        <v>42524</v>
      </c>
      <c r="D2066" s="980">
        <v>123.55</v>
      </c>
      <c r="E2066" s="895">
        <v>13619</v>
      </c>
      <c r="G2066" s="1251"/>
    </row>
    <row r="2067" spans="3:7">
      <c r="C2067" s="981">
        <v>42525</v>
      </c>
      <c r="D2067" s="980">
        <v>123.55</v>
      </c>
      <c r="E2067" s="895">
        <v>13619</v>
      </c>
      <c r="G2067" s="1251"/>
    </row>
    <row r="2068" spans="3:7">
      <c r="C2068" s="981">
        <v>42526</v>
      </c>
      <c r="D2068" s="980">
        <v>123.55</v>
      </c>
      <c r="E2068" s="895">
        <v>13619</v>
      </c>
      <c r="G2068" s="1251"/>
    </row>
    <row r="2069" spans="3:7">
      <c r="C2069" s="981">
        <v>42527</v>
      </c>
      <c r="D2069" s="980">
        <v>123.55</v>
      </c>
      <c r="E2069" s="895">
        <v>13619</v>
      </c>
      <c r="G2069" s="1251"/>
    </row>
    <row r="2070" spans="3:7">
      <c r="C2070" s="981">
        <v>42528</v>
      </c>
      <c r="D2070" s="980">
        <v>123.55</v>
      </c>
      <c r="E2070" s="895">
        <v>13619</v>
      </c>
      <c r="G2070" s="1251"/>
    </row>
    <row r="2071" spans="3:7">
      <c r="C2071" s="981">
        <v>42529</v>
      </c>
      <c r="D2071" s="980">
        <v>125.74</v>
      </c>
      <c r="E2071" s="895">
        <v>13637</v>
      </c>
      <c r="G2071" s="1251"/>
    </row>
    <row r="2072" spans="3:7">
      <c r="C2072" s="981">
        <v>42530</v>
      </c>
      <c r="D2072" s="980">
        <v>125.74</v>
      </c>
      <c r="E2072" s="895">
        <v>13637</v>
      </c>
      <c r="G2072" s="1251"/>
    </row>
    <row r="2073" spans="3:7">
      <c r="C2073" s="981">
        <v>42531</v>
      </c>
      <c r="D2073" s="980">
        <v>125.74</v>
      </c>
      <c r="E2073" s="895">
        <v>13637</v>
      </c>
      <c r="G2073" s="1251"/>
    </row>
    <row r="2074" spans="3:7">
      <c r="C2074" s="981">
        <v>42532</v>
      </c>
      <c r="D2074" s="980">
        <v>125.74</v>
      </c>
      <c r="E2074" s="895">
        <v>13637</v>
      </c>
      <c r="G2074" s="1251"/>
    </row>
    <row r="2075" spans="3:7">
      <c r="C2075" s="981">
        <v>42533</v>
      </c>
      <c r="D2075" s="980">
        <v>125.74</v>
      </c>
      <c r="E2075" s="895">
        <v>13637</v>
      </c>
      <c r="G2075" s="1251"/>
    </row>
    <row r="2076" spans="3:7">
      <c r="C2076" s="981">
        <v>42534</v>
      </c>
      <c r="D2076" s="980">
        <v>125.74</v>
      </c>
      <c r="E2076" s="895">
        <v>13637</v>
      </c>
      <c r="G2076" s="1251"/>
    </row>
    <row r="2077" spans="3:7">
      <c r="C2077" s="981">
        <v>42535</v>
      </c>
      <c r="D2077" s="980">
        <v>125.74</v>
      </c>
      <c r="E2077" s="895">
        <v>13637</v>
      </c>
      <c r="G2077" s="1251"/>
    </row>
    <row r="2078" spans="3:7">
      <c r="C2078" s="981">
        <v>42536</v>
      </c>
      <c r="D2078" s="980">
        <v>124.31</v>
      </c>
      <c r="E2078" s="895">
        <v>13291</v>
      </c>
      <c r="G2078" s="1251"/>
    </row>
    <row r="2079" spans="3:7">
      <c r="C2079" s="981">
        <v>42537</v>
      </c>
      <c r="D2079" s="980">
        <v>124.31</v>
      </c>
      <c r="E2079" s="895">
        <v>13291</v>
      </c>
      <c r="G2079" s="1251"/>
    </row>
    <row r="2080" spans="3:7">
      <c r="C2080" s="981">
        <v>42538</v>
      </c>
      <c r="D2080" s="980">
        <v>124.31</v>
      </c>
      <c r="E2080" s="895">
        <v>13291</v>
      </c>
      <c r="G2080" s="1251"/>
    </row>
    <row r="2081" spans="3:7">
      <c r="C2081" s="981">
        <v>42539</v>
      </c>
      <c r="D2081" s="980">
        <v>124.31</v>
      </c>
      <c r="E2081" s="895">
        <v>13291</v>
      </c>
      <c r="G2081" s="1251"/>
    </row>
    <row r="2082" spans="3:7">
      <c r="C2082" s="981">
        <v>42540</v>
      </c>
      <c r="D2082" s="980">
        <v>124.31</v>
      </c>
      <c r="E2082" s="895">
        <v>13291</v>
      </c>
      <c r="G2082" s="1251"/>
    </row>
    <row r="2083" spans="3:7">
      <c r="C2083" s="981">
        <v>42541</v>
      </c>
      <c r="D2083" s="980">
        <v>124.31</v>
      </c>
      <c r="E2083" s="895">
        <v>13291</v>
      </c>
      <c r="G2083" s="1251"/>
    </row>
    <row r="2084" spans="3:7">
      <c r="C2084" s="981">
        <v>42542</v>
      </c>
      <c r="D2084" s="980">
        <v>124.31</v>
      </c>
      <c r="E2084" s="895">
        <v>13291</v>
      </c>
      <c r="G2084" s="1251"/>
    </row>
    <row r="2085" spans="3:7">
      <c r="C2085" s="981">
        <v>42543</v>
      </c>
      <c r="D2085" s="980">
        <v>127.05</v>
      </c>
      <c r="E2085" s="895">
        <v>13348</v>
      </c>
      <c r="G2085" s="1251"/>
    </row>
    <row r="2086" spans="3:7">
      <c r="C2086" s="981">
        <v>42544</v>
      </c>
      <c r="D2086" s="980">
        <v>127.05</v>
      </c>
      <c r="E2086" s="895">
        <v>13348</v>
      </c>
      <c r="G2086" s="1251"/>
    </row>
    <row r="2087" spans="3:7">
      <c r="C2087" s="981">
        <v>42545</v>
      </c>
      <c r="D2087" s="980">
        <v>127.05</v>
      </c>
      <c r="E2087" s="895">
        <v>13348</v>
      </c>
      <c r="G2087" s="1251"/>
    </row>
    <row r="2088" spans="3:7">
      <c r="C2088" s="981">
        <v>42546</v>
      </c>
      <c r="D2088" s="980">
        <v>127.05</v>
      </c>
      <c r="E2088" s="895">
        <v>13348</v>
      </c>
      <c r="G2088" s="1251"/>
    </row>
    <row r="2089" spans="3:7">
      <c r="C2089" s="981">
        <v>42547</v>
      </c>
      <c r="D2089" s="980">
        <v>127.05</v>
      </c>
      <c r="E2089" s="895">
        <v>13348</v>
      </c>
      <c r="G2089" s="1251"/>
    </row>
    <row r="2090" spans="3:7">
      <c r="C2090" s="981">
        <v>42548</v>
      </c>
      <c r="D2090" s="980">
        <v>127.05</v>
      </c>
      <c r="E2090" s="895">
        <v>13348</v>
      </c>
      <c r="G2090" s="1251"/>
    </row>
    <row r="2091" spans="3:7">
      <c r="C2091" s="981">
        <v>42549</v>
      </c>
      <c r="D2091" s="980">
        <v>127.05</v>
      </c>
      <c r="E2091" s="895">
        <v>13348</v>
      </c>
      <c r="G2091" s="1251"/>
    </row>
    <row r="2092" spans="3:7">
      <c r="C2092" s="981">
        <v>42550</v>
      </c>
      <c r="D2092" s="980">
        <v>128.13</v>
      </c>
      <c r="E2092" s="895">
        <v>13322</v>
      </c>
      <c r="G2092" s="1251"/>
    </row>
    <row r="2093" spans="3:7">
      <c r="C2093" s="981">
        <v>42551</v>
      </c>
      <c r="D2093" s="980">
        <v>128.13</v>
      </c>
      <c r="E2093" s="895">
        <v>13322</v>
      </c>
      <c r="G2093" s="1251"/>
    </row>
    <row r="2094" spans="3:7">
      <c r="C2094" s="981">
        <v>42552</v>
      </c>
      <c r="D2094" s="980">
        <v>128.13</v>
      </c>
      <c r="E2094" s="895">
        <v>13322</v>
      </c>
      <c r="G2094" s="1251"/>
    </row>
    <row r="2095" spans="3:7">
      <c r="C2095" s="981">
        <v>42553</v>
      </c>
      <c r="D2095" s="980">
        <v>128.13</v>
      </c>
      <c r="E2095" s="895">
        <v>13322</v>
      </c>
      <c r="G2095" s="1251"/>
    </row>
    <row r="2096" spans="3:7">
      <c r="C2096" s="981">
        <v>42554</v>
      </c>
      <c r="D2096" s="980">
        <v>128.13</v>
      </c>
      <c r="E2096" s="895">
        <v>13322</v>
      </c>
      <c r="G2096" s="1251"/>
    </row>
    <row r="2097" spans="3:7">
      <c r="C2097" s="981">
        <v>42555</v>
      </c>
      <c r="D2097" s="980">
        <v>128.13</v>
      </c>
      <c r="E2097" s="895">
        <v>13322</v>
      </c>
      <c r="G2097" s="1251"/>
    </row>
    <row r="2098" spans="3:7">
      <c r="C2098" s="981">
        <v>42556</v>
      </c>
      <c r="D2098" s="980">
        <v>128.13</v>
      </c>
      <c r="E2098" s="895">
        <v>13322</v>
      </c>
      <c r="G2098" s="1251"/>
    </row>
    <row r="2099" spans="3:7">
      <c r="C2099" s="981">
        <v>42557</v>
      </c>
      <c r="D2099" s="980">
        <v>128.13</v>
      </c>
      <c r="E2099" s="895">
        <v>13322</v>
      </c>
      <c r="G2099" s="1251"/>
    </row>
    <row r="2100" spans="3:7">
      <c r="C2100" s="981">
        <v>42558</v>
      </c>
      <c r="D2100" s="980">
        <v>128.13</v>
      </c>
      <c r="E2100" s="895">
        <v>13322</v>
      </c>
      <c r="G2100" s="1251"/>
    </row>
    <row r="2101" spans="3:7">
      <c r="C2101" s="981">
        <v>42559</v>
      </c>
      <c r="D2101" s="980">
        <v>128.13</v>
      </c>
      <c r="E2101" s="895">
        <v>13322</v>
      </c>
      <c r="G2101" s="1251"/>
    </row>
    <row r="2102" spans="3:7">
      <c r="C2102" s="981">
        <v>42560</v>
      </c>
      <c r="D2102" s="980">
        <v>128.13</v>
      </c>
      <c r="E2102" s="895">
        <v>13322</v>
      </c>
      <c r="G2102" s="1251"/>
    </row>
    <row r="2103" spans="3:7">
      <c r="C2103" s="981">
        <v>42561</v>
      </c>
      <c r="D2103" s="980">
        <v>128.13</v>
      </c>
      <c r="E2103" s="895">
        <v>13322</v>
      </c>
      <c r="G2103" s="1251"/>
    </row>
    <row r="2104" spans="3:7">
      <c r="C2104" s="981">
        <v>42562</v>
      </c>
      <c r="D2104" s="980">
        <v>128.13</v>
      </c>
      <c r="E2104" s="895">
        <v>13322</v>
      </c>
      <c r="G2104" s="1251"/>
    </row>
    <row r="2105" spans="3:7">
      <c r="C2105" s="981">
        <v>42563</v>
      </c>
      <c r="D2105" s="980">
        <v>128.13</v>
      </c>
      <c r="E2105" s="895">
        <v>13322</v>
      </c>
      <c r="G2105" s="1251"/>
    </row>
    <row r="2106" spans="3:7">
      <c r="C2106" s="981">
        <v>42564</v>
      </c>
      <c r="D2106" s="980">
        <v>130</v>
      </c>
      <c r="E2106" s="895">
        <v>13169</v>
      </c>
      <c r="G2106" s="1251"/>
    </row>
    <row r="2107" spans="3:7">
      <c r="C2107" s="981">
        <v>42565</v>
      </c>
      <c r="D2107" s="980">
        <v>130</v>
      </c>
      <c r="E2107" s="895">
        <v>13169</v>
      </c>
      <c r="G2107" s="1251"/>
    </row>
    <row r="2108" spans="3:7">
      <c r="C2108" s="981">
        <v>42566</v>
      </c>
      <c r="D2108" s="980">
        <v>130</v>
      </c>
      <c r="E2108" s="895">
        <v>13169</v>
      </c>
      <c r="G2108" s="1251"/>
    </row>
    <row r="2109" spans="3:7">
      <c r="C2109" s="981">
        <v>42567</v>
      </c>
      <c r="D2109" s="980">
        <v>130</v>
      </c>
      <c r="E2109" s="895">
        <v>13169</v>
      </c>
      <c r="G2109" s="1251"/>
    </row>
    <row r="2110" spans="3:7">
      <c r="C2110" s="981">
        <v>42568</v>
      </c>
      <c r="D2110" s="980">
        <v>130</v>
      </c>
      <c r="E2110" s="895">
        <v>13169</v>
      </c>
      <c r="G2110" s="1251"/>
    </row>
    <row r="2111" spans="3:7">
      <c r="C2111" s="981">
        <v>42569</v>
      </c>
      <c r="D2111" s="980">
        <v>130</v>
      </c>
      <c r="E2111" s="895">
        <v>13169</v>
      </c>
      <c r="G2111" s="1251"/>
    </row>
    <row r="2112" spans="3:7">
      <c r="C2112" s="981">
        <v>42570</v>
      </c>
      <c r="D2112" s="980">
        <v>130</v>
      </c>
      <c r="E2112" s="895">
        <v>13169</v>
      </c>
      <c r="G2112" s="1251"/>
    </row>
    <row r="2113" spans="3:7">
      <c r="C2113" s="981">
        <v>42571</v>
      </c>
      <c r="D2113" s="980">
        <v>124.82</v>
      </c>
      <c r="E2113" s="895">
        <v>13103</v>
      </c>
      <c r="G2113" s="1251"/>
    </row>
    <row r="2114" spans="3:7">
      <c r="C2114" s="981">
        <v>42572</v>
      </c>
      <c r="D2114" s="980">
        <v>124.82</v>
      </c>
      <c r="E2114" s="895">
        <v>13103</v>
      </c>
      <c r="G2114" s="1251"/>
    </row>
    <row r="2115" spans="3:7">
      <c r="C2115" s="981">
        <v>42573</v>
      </c>
      <c r="D2115" s="980">
        <v>124.82</v>
      </c>
      <c r="E2115" s="895">
        <v>13103</v>
      </c>
      <c r="G2115" s="1251"/>
    </row>
    <row r="2116" spans="3:7">
      <c r="C2116" s="981">
        <v>42574</v>
      </c>
      <c r="D2116" s="980">
        <v>124.82</v>
      </c>
      <c r="E2116" s="895">
        <v>13103</v>
      </c>
      <c r="G2116" s="1251"/>
    </row>
    <row r="2117" spans="3:7">
      <c r="C2117" s="981">
        <v>42575</v>
      </c>
      <c r="D2117" s="980">
        <v>124.82</v>
      </c>
      <c r="E2117" s="895">
        <v>13103</v>
      </c>
      <c r="G2117" s="1251"/>
    </row>
    <row r="2118" spans="3:7">
      <c r="C2118" s="981">
        <v>42576</v>
      </c>
      <c r="D2118" s="980">
        <v>124.82</v>
      </c>
      <c r="E2118" s="895">
        <v>13103</v>
      </c>
      <c r="G2118" s="1251"/>
    </row>
    <row r="2119" spans="3:7">
      <c r="C2119" s="981">
        <v>42577</v>
      </c>
      <c r="D2119" s="980">
        <v>124.82</v>
      </c>
      <c r="E2119" s="895">
        <v>13103</v>
      </c>
      <c r="G2119" s="1251"/>
    </row>
    <row r="2120" spans="3:7">
      <c r="C2120" s="981">
        <v>42578</v>
      </c>
      <c r="D2120" s="980">
        <v>123.27</v>
      </c>
      <c r="E2120" s="895">
        <v>13108</v>
      </c>
      <c r="G2120" s="1251"/>
    </row>
    <row r="2121" spans="3:7">
      <c r="C2121" s="981">
        <v>42579</v>
      </c>
      <c r="D2121" s="980">
        <v>123.27</v>
      </c>
      <c r="E2121" s="895">
        <v>13108</v>
      </c>
      <c r="G2121" s="1251"/>
    </row>
    <row r="2122" spans="3:7">
      <c r="C2122" s="981">
        <v>42580</v>
      </c>
      <c r="D2122" s="980">
        <v>123.27</v>
      </c>
      <c r="E2122" s="895">
        <v>13108</v>
      </c>
      <c r="G2122" s="1251"/>
    </row>
    <row r="2123" spans="3:7">
      <c r="C2123" s="981">
        <v>42581</v>
      </c>
      <c r="D2123" s="980">
        <v>123.27</v>
      </c>
      <c r="E2123" s="895">
        <v>13108</v>
      </c>
      <c r="G2123" s="1251"/>
    </row>
    <row r="2124" spans="3:7">
      <c r="C2124" s="981">
        <v>42582</v>
      </c>
      <c r="D2124" s="980">
        <v>123.27</v>
      </c>
      <c r="E2124" s="895">
        <v>13108</v>
      </c>
      <c r="G2124" s="1251"/>
    </row>
    <row r="2125" spans="3:7">
      <c r="C2125" s="981">
        <v>42583</v>
      </c>
      <c r="D2125" s="980">
        <v>123.27</v>
      </c>
      <c r="E2125" s="895">
        <v>13108</v>
      </c>
      <c r="G2125" s="1251"/>
    </row>
    <row r="2126" spans="3:7">
      <c r="C2126" s="981">
        <v>42584</v>
      </c>
      <c r="D2126" s="980">
        <v>123.27</v>
      </c>
      <c r="E2126" s="895">
        <v>13108</v>
      </c>
      <c r="G2126" s="1251"/>
    </row>
    <row r="2127" spans="3:7">
      <c r="C2127" s="981">
        <v>42585</v>
      </c>
      <c r="D2127" s="980">
        <v>126.21</v>
      </c>
      <c r="E2127" s="895">
        <v>13120</v>
      </c>
      <c r="G2127" s="1251"/>
    </row>
    <row r="2128" spans="3:7">
      <c r="C2128" s="981">
        <v>42586</v>
      </c>
      <c r="D2128" s="980">
        <v>126.21</v>
      </c>
      <c r="E2128" s="895">
        <v>13120</v>
      </c>
      <c r="G2128" s="1251"/>
    </row>
    <row r="2129" spans="3:7">
      <c r="C2129" s="981">
        <v>42587</v>
      </c>
      <c r="D2129" s="980">
        <v>126.21</v>
      </c>
      <c r="E2129" s="895">
        <v>13120</v>
      </c>
      <c r="G2129" s="1251"/>
    </row>
    <row r="2130" spans="3:7">
      <c r="C2130" s="981">
        <v>42588</v>
      </c>
      <c r="D2130" s="980">
        <v>126.21</v>
      </c>
      <c r="E2130" s="895">
        <v>13120</v>
      </c>
      <c r="G2130" s="1251"/>
    </row>
    <row r="2131" spans="3:7">
      <c r="C2131" s="981">
        <v>42589</v>
      </c>
      <c r="D2131" s="980">
        <v>126.21</v>
      </c>
      <c r="E2131" s="895">
        <v>13120</v>
      </c>
      <c r="G2131" s="1251"/>
    </row>
    <row r="2132" spans="3:7">
      <c r="C2132" s="981">
        <v>42590</v>
      </c>
      <c r="D2132" s="980">
        <v>126.21</v>
      </c>
      <c r="E2132" s="895">
        <v>13120</v>
      </c>
      <c r="G2132" s="1251"/>
    </row>
    <row r="2133" spans="3:7">
      <c r="C2133" s="981">
        <v>42591</v>
      </c>
      <c r="D2133" s="980">
        <v>126.21</v>
      </c>
      <c r="E2133" s="895">
        <v>13120</v>
      </c>
      <c r="G2133" s="1251"/>
    </row>
    <row r="2134" spans="3:7">
      <c r="C2134" s="981">
        <v>42592</v>
      </c>
      <c r="D2134" s="980">
        <v>129.36</v>
      </c>
      <c r="E2134" s="895">
        <v>13121</v>
      </c>
      <c r="G2134" s="1251"/>
    </row>
    <row r="2135" spans="3:7">
      <c r="C2135" s="981">
        <v>42593</v>
      </c>
      <c r="D2135" s="980">
        <v>129.36</v>
      </c>
      <c r="E2135" s="895">
        <v>13121</v>
      </c>
      <c r="G2135" s="1251"/>
    </row>
    <row r="2136" spans="3:7">
      <c r="C2136" s="981">
        <v>42594</v>
      </c>
      <c r="D2136" s="980">
        <v>129.36</v>
      </c>
      <c r="E2136" s="895">
        <v>13121</v>
      </c>
      <c r="G2136" s="1251"/>
    </row>
    <row r="2137" spans="3:7">
      <c r="C2137" s="981">
        <v>42595</v>
      </c>
      <c r="D2137" s="980">
        <v>129.36</v>
      </c>
      <c r="E2137" s="895">
        <v>13121</v>
      </c>
      <c r="G2137" s="1251"/>
    </row>
    <row r="2138" spans="3:7">
      <c r="C2138" s="981">
        <v>42596</v>
      </c>
      <c r="D2138" s="980">
        <v>129.36</v>
      </c>
      <c r="E2138" s="895">
        <v>13121</v>
      </c>
      <c r="G2138" s="1251"/>
    </row>
    <row r="2139" spans="3:7">
      <c r="C2139" s="981">
        <v>42597</v>
      </c>
      <c r="D2139" s="980">
        <v>129.36</v>
      </c>
      <c r="E2139" s="895">
        <v>13121</v>
      </c>
      <c r="G2139" s="1251"/>
    </row>
    <row r="2140" spans="3:7">
      <c r="C2140" s="981">
        <v>42598</v>
      </c>
      <c r="D2140" s="980">
        <v>129.36</v>
      </c>
      <c r="E2140" s="895">
        <v>13121</v>
      </c>
      <c r="G2140" s="1251"/>
    </row>
    <row r="2141" spans="3:7">
      <c r="C2141" s="981">
        <v>42599</v>
      </c>
      <c r="D2141" s="980">
        <v>129.12</v>
      </c>
      <c r="E2141" s="895">
        <v>13114</v>
      </c>
      <c r="G2141" s="1251"/>
    </row>
    <row r="2142" spans="3:7">
      <c r="C2142" s="981">
        <v>42600</v>
      </c>
      <c r="D2142" s="980">
        <v>129.12</v>
      </c>
      <c r="E2142" s="895">
        <v>13114</v>
      </c>
      <c r="G2142" s="1251"/>
    </row>
    <row r="2143" spans="3:7">
      <c r="C2143" s="981">
        <v>42601</v>
      </c>
      <c r="D2143" s="980">
        <v>129.12</v>
      </c>
      <c r="E2143" s="895">
        <v>13114</v>
      </c>
      <c r="G2143" s="1251"/>
    </row>
    <row r="2144" spans="3:7">
      <c r="C2144" s="981">
        <v>42602</v>
      </c>
      <c r="D2144" s="980">
        <v>129.12</v>
      </c>
      <c r="E2144" s="895">
        <v>13114</v>
      </c>
      <c r="G2144" s="1251"/>
    </row>
    <row r="2145" spans="3:7">
      <c r="C2145" s="981">
        <v>42603</v>
      </c>
      <c r="D2145" s="980">
        <v>129.12</v>
      </c>
      <c r="E2145" s="895">
        <v>13114</v>
      </c>
      <c r="G2145" s="1251"/>
    </row>
    <row r="2146" spans="3:7">
      <c r="C2146" s="981">
        <v>42604</v>
      </c>
      <c r="D2146" s="980">
        <v>129.12</v>
      </c>
      <c r="E2146" s="895">
        <v>13114</v>
      </c>
      <c r="G2146" s="1251"/>
    </row>
    <row r="2147" spans="3:7">
      <c r="C2147" s="981">
        <v>42605</v>
      </c>
      <c r="D2147" s="980">
        <v>129.12</v>
      </c>
      <c r="E2147" s="895">
        <v>13114</v>
      </c>
      <c r="G2147" s="1251"/>
    </row>
    <row r="2148" spans="3:7">
      <c r="C2148" s="981">
        <v>42606</v>
      </c>
      <c r="D2148" s="980">
        <v>131.05</v>
      </c>
      <c r="E2148" s="895">
        <v>13139</v>
      </c>
      <c r="G2148" s="1251"/>
    </row>
    <row r="2149" spans="3:7">
      <c r="C2149" s="981">
        <v>42607</v>
      </c>
      <c r="D2149" s="980">
        <v>131.05</v>
      </c>
      <c r="E2149" s="895">
        <v>13139</v>
      </c>
      <c r="G2149" s="1251"/>
    </row>
    <row r="2150" spans="3:7">
      <c r="C2150" s="981">
        <v>42608</v>
      </c>
      <c r="D2150" s="980">
        <v>131.05</v>
      </c>
      <c r="E2150" s="895">
        <v>13139</v>
      </c>
      <c r="G2150" s="1251"/>
    </row>
    <row r="2151" spans="3:7">
      <c r="C2151" s="981">
        <v>42609</v>
      </c>
      <c r="D2151" s="980">
        <v>131.05</v>
      </c>
      <c r="E2151" s="895">
        <v>13139</v>
      </c>
      <c r="G2151" s="1251"/>
    </row>
    <row r="2152" spans="3:7">
      <c r="C2152" s="981">
        <v>42610</v>
      </c>
      <c r="D2152" s="980">
        <v>131.05</v>
      </c>
      <c r="E2152" s="895">
        <v>13139</v>
      </c>
      <c r="G2152" s="1251"/>
    </row>
    <row r="2153" spans="3:7">
      <c r="C2153" s="981">
        <v>42611</v>
      </c>
      <c r="D2153" s="980">
        <v>131.05</v>
      </c>
      <c r="E2153" s="895">
        <v>13139</v>
      </c>
      <c r="G2153" s="1251"/>
    </row>
    <row r="2154" spans="3:7">
      <c r="C2154" s="981">
        <v>42612</v>
      </c>
      <c r="D2154" s="980">
        <v>131.05</v>
      </c>
      <c r="E2154" s="895">
        <v>13139</v>
      </c>
      <c r="G2154" s="1251"/>
    </row>
    <row r="2155" spans="3:7">
      <c r="C2155" s="981">
        <v>42613</v>
      </c>
      <c r="D2155" s="980">
        <v>131.01</v>
      </c>
      <c r="E2155" s="895">
        <v>13232</v>
      </c>
      <c r="G2155" s="1251"/>
    </row>
    <row r="2156" spans="3:7">
      <c r="C2156" s="981">
        <v>42614</v>
      </c>
      <c r="D2156" s="980">
        <v>131.01</v>
      </c>
      <c r="E2156" s="895">
        <v>13232</v>
      </c>
      <c r="G2156" s="1251"/>
    </row>
    <row r="2157" spans="3:7">
      <c r="C2157" s="981">
        <v>42615</v>
      </c>
      <c r="D2157" s="980">
        <v>131.01</v>
      </c>
      <c r="E2157" s="895">
        <v>13232</v>
      </c>
      <c r="G2157" s="1251"/>
    </row>
    <row r="2158" spans="3:7">
      <c r="C2158" s="981">
        <v>42616</v>
      </c>
      <c r="D2158" s="980">
        <v>131.01</v>
      </c>
      <c r="E2158" s="895">
        <v>13232</v>
      </c>
      <c r="G2158" s="1251"/>
    </row>
    <row r="2159" spans="3:7">
      <c r="C2159" s="981">
        <v>42617</v>
      </c>
      <c r="D2159" s="980">
        <v>131.01</v>
      </c>
      <c r="E2159" s="895">
        <v>13232</v>
      </c>
      <c r="G2159" s="1251"/>
    </row>
    <row r="2160" spans="3:7">
      <c r="C2160" s="981">
        <v>42618</v>
      </c>
      <c r="D2160" s="980">
        <v>131.01</v>
      </c>
      <c r="E2160" s="895">
        <v>13232</v>
      </c>
      <c r="G2160" s="1251"/>
    </row>
    <row r="2161" spans="3:7">
      <c r="C2161" s="981">
        <v>42619</v>
      </c>
      <c r="D2161" s="980">
        <v>131.01</v>
      </c>
      <c r="E2161" s="895">
        <v>13232</v>
      </c>
      <c r="G2161" s="1251"/>
    </row>
    <row r="2162" spans="3:7">
      <c r="C2162" s="981">
        <v>42620</v>
      </c>
      <c r="D2162" s="980">
        <v>128.04</v>
      </c>
      <c r="E2162" s="895">
        <v>13252</v>
      </c>
      <c r="G2162" s="1251"/>
    </row>
    <row r="2163" spans="3:7">
      <c r="C2163" s="981">
        <v>42621</v>
      </c>
      <c r="D2163" s="980">
        <v>128.04</v>
      </c>
      <c r="E2163" s="895">
        <v>13252</v>
      </c>
      <c r="G2163" s="1251"/>
    </row>
    <row r="2164" spans="3:7">
      <c r="C2164" s="981">
        <v>42622</v>
      </c>
      <c r="D2164" s="980">
        <v>128.04</v>
      </c>
      <c r="E2164" s="895">
        <v>13252</v>
      </c>
      <c r="G2164" s="1251"/>
    </row>
    <row r="2165" spans="3:7">
      <c r="C2165" s="981">
        <v>42623</v>
      </c>
      <c r="D2165" s="980">
        <v>128.04</v>
      </c>
      <c r="E2165" s="895">
        <v>13252</v>
      </c>
      <c r="G2165" s="1251"/>
    </row>
    <row r="2166" spans="3:7">
      <c r="C2166" s="981">
        <v>42624</v>
      </c>
      <c r="D2166" s="980">
        <v>128.04</v>
      </c>
      <c r="E2166" s="895">
        <v>13252</v>
      </c>
      <c r="G2166" s="1251"/>
    </row>
    <row r="2167" spans="3:7">
      <c r="C2167" s="981">
        <v>42625</v>
      </c>
      <c r="D2167" s="980">
        <v>128.04</v>
      </c>
      <c r="E2167" s="895">
        <v>13252</v>
      </c>
      <c r="G2167" s="1251"/>
    </row>
    <row r="2168" spans="3:7">
      <c r="C2168" s="981">
        <v>42626</v>
      </c>
      <c r="D2168" s="980">
        <v>128.04</v>
      </c>
      <c r="E2168" s="895">
        <v>13252</v>
      </c>
      <c r="G2168" s="1251"/>
    </row>
    <row r="2169" spans="3:7">
      <c r="C2169" s="981">
        <v>42627</v>
      </c>
      <c r="D2169" s="980">
        <v>128.57</v>
      </c>
      <c r="E2169" s="895">
        <v>13123</v>
      </c>
      <c r="G2169" s="1251"/>
    </row>
    <row r="2170" spans="3:7">
      <c r="C2170" s="981">
        <v>42628</v>
      </c>
      <c r="D2170" s="980">
        <v>128.57</v>
      </c>
      <c r="E2170" s="895">
        <v>13123</v>
      </c>
      <c r="G2170" s="1251"/>
    </row>
    <row r="2171" spans="3:7">
      <c r="C2171" s="981">
        <v>42629</v>
      </c>
      <c r="D2171" s="980">
        <v>128.57</v>
      </c>
      <c r="E2171" s="895">
        <v>13123</v>
      </c>
      <c r="G2171" s="1251"/>
    </row>
    <row r="2172" spans="3:7">
      <c r="C2172" s="981">
        <v>42630</v>
      </c>
      <c r="D2172" s="980">
        <v>128.57</v>
      </c>
      <c r="E2172" s="895">
        <v>13123</v>
      </c>
      <c r="G2172" s="1251"/>
    </row>
    <row r="2173" spans="3:7">
      <c r="C2173" s="981">
        <v>42631</v>
      </c>
      <c r="D2173" s="980">
        <v>128.57</v>
      </c>
      <c r="E2173" s="895">
        <v>13123</v>
      </c>
      <c r="G2173" s="1251"/>
    </row>
    <row r="2174" spans="3:7">
      <c r="C2174" s="981">
        <v>42632</v>
      </c>
      <c r="D2174" s="980">
        <v>128.57</v>
      </c>
      <c r="E2174" s="895">
        <v>13123</v>
      </c>
      <c r="G2174" s="1251"/>
    </row>
    <row r="2175" spans="3:7">
      <c r="C2175" s="981">
        <v>42633</v>
      </c>
      <c r="D2175" s="980">
        <v>128.57</v>
      </c>
      <c r="E2175" s="895">
        <v>13123</v>
      </c>
      <c r="G2175" s="1251"/>
    </row>
    <row r="2176" spans="3:7">
      <c r="C2176" s="981">
        <v>42634</v>
      </c>
      <c r="D2176" s="980">
        <v>128.76</v>
      </c>
      <c r="E2176" s="895">
        <v>13173</v>
      </c>
      <c r="G2176" s="1251"/>
    </row>
    <row r="2177" spans="3:7">
      <c r="C2177" s="981">
        <v>42635</v>
      </c>
      <c r="D2177" s="980">
        <v>128.76</v>
      </c>
      <c r="E2177" s="895">
        <v>13173</v>
      </c>
      <c r="G2177" s="1251"/>
    </row>
    <row r="2178" spans="3:7">
      <c r="C2178" s="981">
        <v>42636</v>
      </c>
      <c r="D2178" s="980">
        <v>128.76</v>
      </c>
      <c r="E2178" s="895">
        <v>13173</v>
      </c>
      <c r="G2178" s="1251"/>
    </row>
    <row r="2179" spans="3:7">
      <c r="C2179" s="981">
        <v>42637</v>
      </c>
      <c r="D2179" s="980">
        <v>128.76</v>
      </c>
      <c r="E2179" s="895">
        <v>13173</v>
      </c>
      <c r="G2179" s="1251"/>
    </row>
    <row r="2180" spans="3:7">
      <c r="C2180" s="981">
        <v>42638</v>
      </c>
      <c r="D2180" s="980">
        <v>128.76</v>
      </c>
      <c r="E2180" s="895">
        <v>13173</v>
      </c>
      <c r="G2180" s="1251"/>
    </row>
    <row r="2181" spans="3:7">
      <c r="C2181" s="981">
        <v>42639</v>
      </c>
      <c r="D2181" s="980">
        <v>128.76</v>
      </c>
      <c r="E2181" s="895">
        <v>13173</v>
      </c>
      <c r="G2181" s="1251"/>
    </row>
    <row r="2182" spans="3:7">
      <c r="C2182" s="981">
        <v>42640</v>
      </c>
      <c r="D2182" s="980">
        <v>128.76</v>
      </c>
      <c r="E2182" s="895">
        <v>13173</v>
      </c>
      <c r="G2182" s="1251"/>
    </row>
    <row r="2183" spans="3:7">
      <c r="C2183" s="981">
        <v>42641</v>
      </c>
      <c r="D2183" s="980">
        <v>129.83</v>
      </c>
      <c r="E2183" s="895">
        <v>13103</v>
      </c>
      <c r="G2183" s="1251"/>
    </row>
    <row r="2184" spans="3:7">
      <c r="C2184" s="981">
        <v>42642</v>
      </c>
      <c r="D2184" s="980">
        <v>129.83</v>
      </c>
      <c r="E2184" s="895">
        <v>13103</v>
      </c>
      <c r="G2184" s="1251"/>
    </row>
    <row r="2185" spans="3:7">
      <c r="C2185" s="981">
        <v>42643</v>
      </c>
      <c r="D2185" s="980">
        <v>129.83</v>
      </c>
      <c r="E2185" s="895">
        <v>13103</v>
      </c>
      <c r="G2185" s="1251"/>
    </row>
    <row r="2186" spans="3:7">
      <c r="C2186" s="981">
        <v>42644</v>
      </c>
      <c r="D2186" s="980">
        <v>129.83</v>
      </c>
      <c r="E2186" s="895">
        <v>13103</v>
      </c>
      <c r="G2186" s="1251"/>
    </row>
    <row r="2187" spans="3:7">
      <c r="C2187" s="981">
        <v>42645</v>
      </c>
      <c r="D2187" s="980">
        <v>129.83</v>
      </c>
      <c r="E2187" s="895">
        <v>13103</v>
      </c>
      <c r="G2187" s="1251"/>
    </row>
    <row r="2188" spans="3:7">
      <c r="C2188" s="981">
        <v>42646</v>
      </c>
      <c r="D2188" s="980">
        <v>129.83</v>
      </c>
      <c r="E2188" s="895">
        <v>13103</v>
      </c>
      <c r="G2188" s="1251"/>
    </row>
    <row r="2189" spans="3:7">
      <c r="C2189" s="981">
        <v>42647</v>
      </c>
      <c r="D2189" s="980">
        <v>129.83</v>
      </c>
      <c r="E2189" s="895">
        <v>13103</v>
      </c>
      <c r="G2189" s="1251"/>
    </row>
    <row r="2190" spans="3:7">
      <c r="C2190" s="981">
        <v>42648</v>
      </c>
      <c r="D2190" s="980">
        <v>128.62</v>
      </c>
      <c r="E2190" s="895">
        <v>12987</v>
      </c>
      <c r="G2190" s="1251"/>
    </row>
    <row r="2191" spans="3:7">
      <c r="C2191" s="981">
        <v>42649</v>
      </c>
      <c r="D2191" s="980">
        <v>128.62</v>
      </c>
      <c r="E2191" s="895">
        <v>12987</v>
      </c>
      <c r="G2191" s="1251"/>
    </row>
    <row r="2192" spans="3:7">
      <c r="C2192" s="981">
        <v>42650</v>
      </c>
      <c r="D2192" s="980">
        <v>128.62</v>
      </c>
      <c r="E2192" s="895">
        <v>12987</v>
      </c>
      <c r="G2192" s="1251"/>
    </row>
    <row r="2193" spans="3:7">
      <c r="C2193" s="981">
        <v>42651</v>
      </c>
      <c r="D2193" s="980">
        <v>128.62</v>
      </c>
      <c r="E2193" s="895">
        <v>12987</v>
      </c>
      <c r="G2193" s="1251"/>
    </row>
    <row r="2194" spans="3:7">
      <c r="C2194" s="981">
        <v>42652</v>
      </c>
      <c r="D2194" s="980">
        <v>128.62</v>
      </c>
      <c r="E2194" s="895">
        <v>12987</v>
      </c>
      <c r="G2194" s="1251"/>
    </row>
    <row r="2195" spans="3:7">
      <c r="C2195" s="981">
        <v>42653</v>
      </c>
      <c r="D2195" s="980">
        <v>128.62</v>
      </c>
      <c r="E2195" s="895">
        <v>12987</v>
      </c>
      <c r="G2195" s="1251"/>
    </row>
    <row r="2196" spans="3:7">
      <c r="C2196" s="981">
        <v>42654</v>
      </c>
      <c r="D2196" s="980">
        <v>128.62</v>
      </c>
      <c r="E2196" s="895">
        <v>12987</v>
      </c>
      <c r="G2196" s="1251"/>
    </row>
    <row r="2197" spans="3:7">
      <c r="C2197" s="981">
        <v>42655</v>
      </c>
      <c r="D2197" s="980">
        <v>125.73</v>
      </c>
      <c r="E2197" s="895">
        <v>12984</v>
      </c>
      <c r="G2197" s="1251"/>
    </row>
    <row r="2198" spans="3:7">
      <c r="C2198" s="981">
        <v>42656</v>
      </c>
      <c r="D2198" s="980">
        <v>125.73</v>
      </c>
      <c r="E2198" s="895">
        <v>12984</v>
      </c>
      <c r="G2198" s="1251"/>
    </row>
    <row r="2199" spans="3:7">
      <c r="C2199" s="981">
        <v>42657</v>
      </c>
      <c r="D2199" s="980">
        <v>125.73</v>
      </c>
      <c r="E2199" s="895">
        <v>12984</v>
      </c>
      <c r="G2199" s="1251"/>
    </row>
    <row r="2200" spans="3:7">
      <c r="C2200" s="981">
        <v>42658</v>
      </c>
      <c r="D2200" s="980">
        <v>125.73</v>
      </c>
      <c r="E2200" s="895">
        <v>12984</v>
      </c>
      <c r="G2200" s="1251"/>
    </row>
    <row r="2201" spans="3:7">
      <c r="C2201" s="981">
        <v>42659</v>
      </c>
      <c r="D2201" s="980">
        <v>125.73</v>
      </c>
      <c r="E2201" s="895">
        <v>12984</v>
      </c>
      <c r="G2201" s="1251"/>
    </row>
    <row r="2202" spans="3:7">
      <c r="C2202" s="981">
        <v>42660</v>
      </c>
      <c r="D2202" s="980">
        <v>125.73</v>
      </c>
      <c r="E2202" s="895">
        <v>12984</v>
      </c>
      <c r="G2202" s="1251"/>
    </row>
    <row r="2203" spans="3:7">
      <c r="C2203" s="981">
        <v>42661</v>
      </c>
      <c r="D2203" s="980">
        <v>125.73</v>
      </c>
      <c r="E2203" s="895">
        <v>12984</v>
      </c>
      <c r="G2203" s="1251"/>
    </row>
    <row r="2204" spans="3:7">
      <c r="C2204" s="981">
        <v>42662</v>
      </c>
      <c r="D2204" s="980">
        <v>125.51</v>
      </c>
      <c r="E2204" s="895">
        <v>13043</v>
      </c>
      <c r="G2204" s="1251"/>
    </row>
    <row r="2205" spans="3:7">
      <c r="C2205" s="981">
        <v>42663</v>
      </c>
      <c r="D2205" s="980">
        <v>125.51</v>
      </c>
      <c r="E2205" s="895">
        <v>13043</v>
      </c>
      <c r="G2205" s="1251"/>
    </row>
    <row r="2206" spans="3:7">
      <c r="C2206" s="981">
        <v>42664</v>
      </c>
      <c r="D2206" s="980">
        <v>125.51</v>
      </c>
      <c r="E2206" s="895">
        <v>13043</v>
      </c>
      <c r="G2206" s="1251"/>
    </row>
    <row r="2207" spans="3:7">
      <c r="C2207" s="981">
        <v>42665</v>
      </c>
      <c r="D2207" s="980">
        <v>125.51</v>
      </c>
      <c r="E2207" s="895">
        <v>13043</v>
      </c>
      <c r="G2207" s="1251"/>
    </row>
    <row r="2208" spans="3:7">
      <c r="C2208" s="981">
        <v>42666</v>
      </c>
      <c r="D2208" s="980">
        <v>125.51</v>
      </c>
      <c r="E2208" s="895">
        <v>13043</v>
      </c>
      <c r="G2208" s="1251"/>
    </row>
    <row r="2209" spans="3:7">
      <c r="C2209" s="981">
        <v>42667</v>
      </c>
      <c r="D2209" s="980">
        <v>125.51</v>
      </c>
      <c r="E2209" s="895">
        <v>13043</v>
      </c>
      <c r="G2209" s="1251"/>
    </row>
    <row r="2210" spans="3:7">
      <c r="C2210" s="981">
        <v>42668</v>
      </c>
      <c r="D2210" s="980">
        <v>125.51</v>
      </c>
      <c r="E2210" s="895">
        <v>13043</v>
      </c>
      <c r="G2210" s="1251"/>
    </row>
    <row r="2211" spans="3:7">
      <c r="C2211" s="981">
        <v>42669</v>
      </c>
      <c r="D2211" s="980">
        <v>125.48</v>
      </c>
      <c r="E2211" s="895">
        <v>13019</v>
      </c>
      <c r="G2211" s="1251"/>
    </row>
    <row r="2212" spans="3:7">
      <c r="C2212" s="981">
        <v>42670</v>
      </c>
      <c r="D2212" s="980">
        <v>125.48</v>
      </c>
      <c r="E2212" s="895">
        <v>13019</v>
      </c>
      <c r="G2212" s="1251"/>
    </row>
    <row r="2213" spans="3:7">
      <c r="C2213" s="981">
        <v>42671</v>
      </c>
      <c r="D2213" s="980">
        <v>125.48</v>
      </c>
      <c r="E2213" s="895">
        <v>13019</v>
      </c>
      <c r="G2213" s="1251"/>
    </row>
    <row r="2214" spans="3:7">
      <c r="C2214" s="981">
        <v>42672</v>
      </c>
      <c r="D2214" s="980">
        <v>125.48</v>
      </c>
      <c r="E2214" s="895">
        <v>13019</v>
      </c>
      <c r="G2214" s="1251"/>
    </row>
    <row r="2215" spans="3:7">
      <c r="C2215" s="981">
        <v>42673</v>
      </c>
      <c r="D2215" s="980">
        <v>125.48</v>
      </c>
      <c r="E2215" s="895">
        <v>13019</v>
      </c>
      <c r="G2215" s="1251"/>
    </row>
    <row r="2216" spans="3:7">
      <c r="C2216" s="981">
        <v>42674</v>
      </c>
      <c r="D2216" s="980">
        <v>125.48</v>
      </c>
      <c r="E2216" s="895">
        <v>13019</v>
      </c>
      <c r="G2216" s="1251"/>
    </row>
    <row r="2217" spans="3:7">
      <c r="C2217" s="981">
        <v>42675</v>
      </c>
      <c r="D2217" s="980">
        <v>125.48</v>
      </c>
      <c r="E2217" s="895">
        <v>13019</v>
      </c>
      <c r="G2217" s="1251"/>
    </row>
    <row r="2218" spans="3:7">
      <c r="C2218" s="981">
        <v>42676</v>
      </c>
      <c r="D2218" s="980">
        <v>124.42</v>
      </c>
      <c r="E2218" s="895">
        <v>13030</v>
      </c>
      <c r="G2218" s="1251"/>
    </row>
    <row r="2219" spans="3:7">
      <c r="C2219" s="981">
        <v>42677</v>
      </c>
      <c r="D2219" s="980">
        <v>124.42</v>
      </c>
      <c r="E2219" s="895">
        <v>13030</v>
      </c>
      <c r="G2219" s="1251"/>
    </row>
    <row r="2220" spans="3:7">
      <c r="C2220" s="981">
        <v>42678</v>
      </c>
      <c r="D2220" s="980">
        <v>124.42</v>
      </c>
      <c r="E2220" s="895">
        <v>13030</v>
      </c>
      <c r="G2220" s="1251"/>
    </row>
    <row r="2221" spans="3:7">
      <c r="C2221" s="981">
        <v>42679</v>
      </c>
      <c r="D2221" s="980">
        <v>124.42</v>
      </c>
      <c r="E2221" s="895">
        <v>13030</v>
      </c>
      <c r="G2221" s="1251"/>
    </row>
    <row r="2222" spans="3:7">
      <c r="C2222" s="981">
        <v>42680</v>
      </c>
      <c r="D2222" s="980">
        <v>124.42</v>
      </c>
      <c r="E2222" s="895">
        <v>13030</v>
      </c>
      <c r="G2222" s="1251"/>
    </row>
    <row r="2223" spans="3:7">
      <c r="C2223" s="981">
        <v>42681</v>
      </c>
      <c r="D2223" s="980">
        <v>124.42</v>
      </c>
      <c r="E2223" s="895">
        <v>13030</v>
      </c>
      <c r="G2223" s="1251"/>
    </row>
    <row r="2224" spans="3:7">
      <c r="C2224" s="981">
        <v>42682</v>
      </c>
      <c r="D2224" s="980">
        <v>124.42</v>
      </c>
      <c r="E2224" s="895">
        <v>13030</v>
      </c>
      <c r="G2224" s="1251"/>
    </row>
    <row r="2225" spans="3:7">
      <c r="C2225" s="981">
        <v>42683</v>
      </c>
      <c r="D2225" s="980">
        <v>126.29</v>
      </c>
      <c r="E2225" s="895">
        <v>13070</v>
      </c>
      <c r="G2225" s="1251"/>
    </row>
    <row r="2226" spans="3:7">
      <c r="C2226" s="981">
        <v>42684</v>
      </c>
      <c r="D2226" s="980">
        <v>126.29</v>
      </c>
      <c r="E2226" s="895">
        <v>13070</v>
      </c>
      <c r="G2226" s="1251"/>
    </row>
    <row r="2227" spans="3:7">
      <c r="C2227" s="981">
        <v>42685</v>
      </c>
      <c r="D2227" s="980">
        <v>126.29</v>
      </c>
      <c r="E2227" s="895">
        <v>13070</v>
      </c>
      <c r="G2227" s="1251"/>
    </row>
    <row r="2228" spans="3:7">
      <c r="C2228" s="981">
        <v>42686</v>
      </c>
      <c r="D2228" s="980">
        <v>126.29</v>
      </c>
      <c r="E2228" s="895">
        <v>13070</v>
      </c>
      <c r="G2228" s="1251"/>
    </row>
    <row r="2229" spans="3:7">
      <c r="C2229" s="981">
        <v>42687</v>
      </c>
      <c r="D2229" s="980">
        <v>126.29</v>
      </c>
      <c r="E2229" s="895">
        <v>13070</v>
      </c>
      <c r="G2229" s="1251"/>
    </row>
    <row r="2230" spans="3:7">
      <c r="C2230" s="981">
        <v>42688</v>
      </c>
      <c r="D2230" s="980">
        <v>126.29</v>
      </c>
      <c r="E2230" s="895">
        <v>13070</v>
      </c>
      <c r="G2230" s="1251"/>
    </row>
    <row r="2231" spans="3:7">
      <c r="C2231" s="981">
        <v>42689</v>
      </c>
      <c r="D2231" s="980">
        <v>126.29</v>
      </c>
      <c r="E2231" s="895">
        <v>13070</v>
      </c>
      <c r="G2231" s="1251"/>
    </row>
    <row r="2232" spans="3:7">
      <c r="C2232" s="981">
        <v>42690</v>
      </c>
      <c r="D2232" s="980">
        <v>124.31</v>
      </c>
      <c r="E2232" s="895">
        <v>13222</v>
      </c>
      <c r="G2232" s="1251"/>
    </row>
    <row r="2233" spans="3:7">
      <c r="C2233" s="981">
        <v>42691</v>
      </c>
      <c r="D2233" s="980">
        <v>124.31</v>
      </c>
      <c r="E2233" s="895">
        <v>13222</v>
      </c>
      <c r="G2233" s="1251"/>
    </row>
    <row r="2234" spans="3:7">
      <c r="C2234" s="981">
        <v>42692</v>
      </c>
      <c r="D2234" s="980">
        <v>124.31</v>
      </c>
      <c r="E2234" s="895">
        <v>13222</v>
      </c>
      <c r="G2234" s="1251"/>
    </row>
    <row r="2235" spans="3:7">
      <c r="C2235" s="981">
        <v>42693</v>
      </c>
      <c r="D2235" s="980">
        <v>124.31</v>
      </c>
      <c r="E2235" s="895">
        <v>13222</v>
      </c>
      <c r="G2235" s="1251"/>
    </row>
    <row r="2236" spans="3:7">
      <c r="C2236" s="981">
        <v>42694</v>
      </c>
      <c r="D2236" s="980">
        <v>124.31</v>
      </c>
      <c r="E2236" s="895">
        <v>13222</v>
      </c>
      <c r="G2236" s="1251"/>
    </row>
    <row r="2237" spans="3:7">
      <c r="C2237" s="981">
        <v>42695</v>
      </c>
      <c r="D2237" s="980">
        <v>124.31</v>
      </c>
      <c r="E2237" s="895">
        <v>13222</v>
      </c>
      <c r="G2237" s="1251"/>
    </row>
    <row r="2238" spans="3:7">
      <c r="C2238" s="981">
        <v>42696</v>
      </c>
      <c r="D2238" s="980">
        <v>124.31</v>
      </c>
      <c r="E2238" s="895">
        <v>13222</v>
      </c>
      <c r="G2238" s="1251"/>
    </row>
    <row r="2239" spans="3:7">
      <c r="C2239" s="981">
        <v>42697</v>
      </c>
      <c r="D2239" s="980">
        <v>121.64</v>
      </c>
      <c r="E2239" s="895">
        <v>13387</v>
      </c>
      <c r="G2239" s="1251"/>
    </row>
    <row r="2240" spans="3:7">
      <c r="C2240" s="981">
        <v>42698</v>
      </c>
      <c r="D2240" s="980">
        <v>121.64</v>
      </c>
      <c r="E2240" s="895">
        <v>13387</v>
      </c>
      <c r="G2240" s="1251"/>
    </row>
    <row r="2241" spans="3:7">
      <c r="C2241" s="981">
        <v>42699</v>
      </c>
      <c r="D2241" s="980">
        <v>121.64</v>
      </c>
      <c r="E2241" s="895">
        <v>13387</v>
      </c>
      <c r="G2241" s="1251"/>
    </row>
    <row r="2242" spans="3:7">
      <c r="C2242" s="981">
        <v>42700</v>
      </c>
      <c r="D2242" s="980">
        <v>121.64</v>
      </c>
      <c r="E2242" s="895">
        <v>13387</v>
      </c>
      <c r="G2242" s="1251"/>
    </row>
    <row r="2243" spans="3:7">
      <c r="C2243" s="981">
        <v>42701</v>
      </c>
      <c r="D2243" s="980">
        <v>121.64</v>
      </c>
      <c r="E2243" s="895">
        <v>13387</v>
      </c>
      <c r="G2243" s="1251"/>
    </row>
    <row r="2244" spans="3:7">
      <c r="C2244" s="981">
        <v>42702</v>
      </c>
      <c r="D2244" s="980">
        <v>121.64</v>
      </c>
      <c r="E2244" s="895">
        <v>13387</v>
      </c>
      <c r="G2244" s="1251"/>
    </row>
    <row r="2245" spans="3:7">
      <c r="C2245" s="981">
        <v>42703</v>
      </c>
      <c r="D2245" s="980">
        <v>121.64</v>
      </c>
      <c r="E2245" s="895">
        <v>13387</v>
      </c>
      <c r="G2245" s="1251"/>
    </row>
    <row r="2246" spans="3:7">
      <c r="C2246" s="981">
        <v>42704</v>
      </c>
      <c r="D2246" s="980">
        <v>120.07</v>
      </c>
      <c r="E2246" s="895">
        <v>13510</v>
      </c>
      <c r="G2246" s="1251"/>
    </row>
    <row r="2247" spans="3:7">
      <c r="C2247" s="981">
        <v>42705</v>
      </c>
      <c r="D2247" s="980">
        <v>120.07</v>
      </c>
      <c r="E2247" s="895">
        <v>13510</v>
      </c>
      <c r="G2247" s="1251"/>
    </row>
    <row r="2248" spans="3:7">
      <c r="C2248" s="981">
        <v>42706</v>
      </c>
      <c r="D2248" s="980">
        <v>120.07</v>
      </c>
      <c r="E2248" s="895">
        <v>13510</v>
      </c>
      <c r="G2248" s="1251"/>
    </row>
    <row r="2249" spans="3:7">
      <c r="C2249" s="981">
        <v>42707</v>
      </c>
      <c r="D2249" s="980">
        <v>120.07</v>
      </c>
      <c r="E2249" s="895">
        <v>13510</v>
      </c>
      <c r="G2249" s="1251"/>
    </row>
    <row r="2250" spans="3:7">
      <c r="C2250" s="981">
        <v>42708</v>
      </c>
      <c r="D2250" s="980">
        <v>120.07</v>
      </c>
      <c r="E2250" s="895">
        <v>13510</v>
      </c>
      <c r="G2250" s="1251"/>
    </row>
    <row r="2251" spans="3:7">
      <c r="C2251" s="981">
        <v>42709</v>
      </c>
      <c r="D2251" s="980">
        <v>120.07</v>
      </c>
      <c r="E2251" s="895">
        <v>13510</v>
      </c>
      <c r="G2251" s="1251"/>
    </row>
    <row r="2252" spans="3:7">
      <c r="C2252" s="981">
        <v>42710</v>
      </c>
      <c r="D2252" s="980">
        <v>120.07</v>
      </c>
      <c r="E2252" s="895">
        <v>13510</v>
      </c>
      <c r="G2252" s="1251"/>
    </row>
    <row r="2253" spans="3:7">
      <c r="C2253" s="981">
        <v>42711</v>
      </c>
      <c r="D2253" s="980">
        <v>119.13</v>
      </c>
      <c r="E2253" s="895">
        <v>13539</v>
      </c>
      <c r="G2253" s="1251"/>
    </row>
    <row r="2254" spans="3:7">
      <c r="C2254" s="981">
        <v>42712</v>
      </c>
      <c r="D2254" s="980">
        <v>119.13</v>
      </c>
      <c r="E2254" s="895">
        <v>13539</v>
      </c>
      <c r="G2254" s="1251"/>
    </row>
    <row r="2255" spans="3:7">
      <c r="C2255" s="981">
        <v>42713</v>
      </c>
      <c r="D2255" s="980">
        <v>119.13</v>
      </c>
      <c r="E2255" s="895">
        <v>13539</v>
      </c>
      <c r="G2255" s="1251"/>
    </row>
    <row r="2256" spans="3:7">
      <c r="C2256" s="981">
        <v>42714</v>
      </c>
      <c r="D2256" s="980">
        <v>119.13</v>
      </c>
      <c r="E2256" s="895">
        <v>13539</v>
      </c>
      <c r="G2256" s="1251"/>
    </row>
    <row r="2257" spans="3:7">
      <c r="C2257" s="981">
        <v>42715</v>
      </c>
      <c r="D2257" s="980">
        <v>119.13</v>
      </c>
      <c r="E2257" s="895">
        <v>13539</v>
      </c>
      <c r="G2257" s="1251"/>
    </row>
    <row r="2258" spans="3:7">
      <c r="C2258" s="981">
        <v>42716</v>
      </c>
      <c r="D2258" s="980">
        <v>119.13</v>
      </c>
      <c r="E2258" s="895">
        <v>13539</v>
      </c>
      <c r="G2258" s="1251"/>
    </row>
    <row r="2259" spans="3:7">
      <c r="C2259" s="981">
        <v>42717</v>
      </c>
      <c r="D2259" s="980">
        <v>119.13</v>
      </c>
      <c r="E2259" s="895">
        <v>13539</v>
      </c>
      <c r="G2259" s="1251"/>
    </row>
    <row r="2260" spans="3:7">
      <c r="C2260" s="981">
        <v>42718</v>
      </c>
      <c r="D2260" s="980">
        <v>116.2</v>
      </c>
      <c r="E2260" s="895">
        <v>13318</v>
      </c>
      <c r="G2260" s="1251"/>
    </row>
    <row r="2261" spans="3:7">
      <c r="C2261" s="981">
        <v>42719</v>
      </c>
      <c r="D2261" s="980">
        <v>116.2</v>
      </c>
      <c r="E2261" s="895">
        <v>13318</v>
      </c>
      <c r="G2261" s="1251"/>
    </row>
    <row r="2262" spans="3:7">
      <c r="C2262" s="981">
        <v>42720</v>
      </c>
      <c r="D2262" s="980">
        <v>116.2</v>
      </c>
      <c r="E2262" s="895">
        <v>13318</v>
      </c>
      <c r="G2262" s="1251"/>
    </row>
    <row r="2263" spans="3:7">
      <c r="C2263" s="981">
        <v>42721</v>
      </c>
      <c r="D2263" s="980">
        <v>116.2</v>
      </c>
      <c r="E2263" s="895">
        <v>13318</v>
      </c>
      <c r="G2263" s="1251"/>
    </row>
    <row r="2264" spans="3:7">
      <c r="C2264" s="981">
        <v>42722</v>
      </c>
      <c r="D2264" s="980">
        <v>116.2</v>
      </c>
      <c r="E2264" s="895">
        <v>13318</v>
      </c>
      <c r="G2264" s="1251"/>
    </row>
    <row r="2265" spans="3:7">
      <c r="C2265" s="981">
        <v>42723</v>
      </c>
      <c r="D2265" s="980">
        <v>116.2</v>
      </c>
      <c r="E2265" s="895">
        <v>13318</v>
      </c>
      <c r="G2265" s="1251"/>
    </row>
    <row r="2266" spans="3:7">
      <c r="C2266" s="981">
        <v>42724</v>
      </c>
      <c r="D2266" s="980">
        <v>116.2</v>
      </c>
      <c r="E2266" s="895">
        <v>13318</v>
      </c>
      <c r="G2266" s="1251"/>
    </row>
    <row r="2267" spans="3:7">
      <c r="C2267" s="981">
        <v>42725</v>
      </c>
      <c r="D2267" s="980">
        <v>113.96</v>
      </c>
      <c r="E2267" s="895">
        <v>13355</v>
      </c>
      <c r="G2267" s="1251"/>
    </row>
    <row r="2268" spans="3:7">
      <c r="C2268" s="981">
        <v>42726</v>
      </c>
      <c r="D2268" s="980">
        <v>113.96</v>
      </c>
      <c r="E2268" s="895">
        <v>13355</v>
      </c>
      <c r="G2268" s="1251"/>
    </row>
    <row r="2269" spans="3:7">
      <c r="C2269" s="981">
        <v>42727</v>
      </c>
      <c r="D2269" s="980">
        <v>113.96</v>
      </c>
      <c r="E2269" s="895">
        <v>13355</v>
      </c>
      <c r="G2269" s="1251"/>
    </row>
    <row r="2270" spans="3:7">
      <c r="C2270" s="981">
        <v>42728</v>
      </c>
      <c r="D2270" s="980">
        <v>113.96</v>
      </c>
      <c r="E2270" s="895">
        <v>13355</v>
      </c>
      <c r="G2270" s="1251"/>
    </row>
    <row r="2271" spans="3:7">
      <c r="C2271" s="981">
        <v>42729</v>
      </c>
      <c r="D2271" s="980">
        <v>113.96</v>
      </c>
      <c r="E2271" s="895">
        <v>13355</v>
      </c>
      <c r="G2271" s="1251"/>
    </row>
    <row r="2272" spans="3:7">
      <c r="C2272" s="981">
        <v>42730</v>
      </c>
      <c r="D2272" s="980">
        <v>113.96</v>
      </c>
      <c r="E2272" s="895">
        <v>13355</v>
      </c>
      <c r="G2272" s="1251"/>
    </row>
    <row r="2273" spans="3:7">
      <c r="C2273" s="981">
        <v>42731</v>
      </c>
      <c r="D2273" s="980">
        <v>113.96</v>
      </c>
      <c r="E2273" s="895">
        <v>13355</v>
      </c>
      <c r="G2273" s="1251"/>
    </row>
    <row r="2274" spans="3:7">
      <c r="C2274" s="981">
        <v>42732</v>
      </c>
      <c r="D2274" s="980">
        <v>114.63</v>
      </c>
      <c r="E2274" s="895">
        <v>13454</v>
      </c>
      <c r="G2274" s="1251"/>
    </row>
    <row r="2275" spans="3:7">
      <c r="C2275" s="981">
        <v>42733</v>
      </c>
      <c r="D2275" s="980">
        <v>114.63</v>
      </c>
      <c r="E2275" s="895">
        <v>13454</v>
      </c>
      <c r="G2275" s="1251"/>
    </row>
    <row r="2276" spans="3:7">
      <c r="C2276" s="981">
        <v>42734</v>
      </c>
      <c r="D2276" s="980">
        <v>114.63</v>
      </c>
      <c r="E2276" s="895">
        <v>13454</v>
      </c>
      <c r="G2276" s="1251"/>
    </row>
    <row r="2277" spans="3:7">
      <c r="C2277" s="981">
        <v>42735</v>
      </c>
      <c r="D2277" s="980">
        <v>114.63</v>
      </c>
      <c r="E2277" s="895">
        <v>13454</v>
      </c>
      <c r="G2277" s="1251"/>
    </row>
    <row r="2278" spans="3:7">
      <c r="C2278" s="981">
        <v>42736</v>
      </c>
      <c r="D2278" s="980">
        <v>114.63</v>
      </c>
      <c r="E2278" s="895">
        <v>13454</v>
      </c>
      <c r="F2278" s="1253"/>
      <c r="G2278" s="1251"/>
    </row>
    <row r="2279" spans="3:7">
      <c r="C2279" s="981">
        <v>42737</v>
      </c>
      <c r="D2279" s="980">
        <v>114.63</v>
      </c>
      <c r="E2279" s="895">
        <v>13454</v>
      </c>
      <c r="F2279" s="1253"/>
      <c r="G2279" s="1251"/>
    </row>
    <row r="2280" spans="3:7">
      <c r="C2280" s="981">
        <v>42738</v>
      </c>
      <c r="D2280" s="980">
        <v>114.63</v>
      </c>
      <c r="E2280" s="895">
        <v>13454</v>
      </c>
      <c r="F2280" s="1253"/>
      <c r="G2280" s="1251"/>
    </row>
    <row r="2281" spans="3:7">
      <c r="C2281" s="981">
        <v>42739</v>
      </c>
      <c r="D2281" s="980">
        <v>115.01</v>
      </c>
      <c r="E2281" s="895">
        <v>13472</v>
      </c>
      <c r="F2281" s="1253"/>
      <c r="G2281" s="1251"/>
    </row>
    <row r="2282" spans="3:7">
      <c r="C2282" s="981">
        <v>42740</v>
      </c>
      <c r="D2282" s="980">
        <v>115.01</v>
      </c>
      <c r="E2282" s="895">
        <v>13472</v>
      </c>
      <c r="F2282" s="1253"/>
      <c r="G2282" s="1251"/>
    </row>
    <row r="2283" spans="3:7">
      <c r="C2283" s="981">
        <v>42741</v>
      </c>
      <c r="D2283" s="980">
        <v>115.01</v>
      </c>
      <c r="E2283" s="895">
        <v>13472</v>
      </c>
      <c r="F2283" s="1253"/>
      <c r="G2283" s="1251"/>
    </row>
    <row r="2284" spans="3:7">
      <c r="C2284" s="981">
        <v>42742</v>
      </c>
      <c r="D2284" s="980">
        <v>115.01</v>
      </c>
      <c r="E2284" s="895">
        <v>13472</v>
      </c>
      <c r="F2284" s="1253"/>
      <c r="G2284" s="1251"/>
    </row>
    <row r="2285" spans="3:7">
      <c r="C2285" s="981">
        <v>42743</v>
      </c>
      <c r="D2285" s="980">
        <v>115.01</v>
      </c>
      <c r="E2285" s="895">
        <v>13472</v>
      </c>
      <c r="F2285" s="1253"/>
      <c r="G2285" s="1251"/>
    </row>
    <row r="2286" spans="3:7">
      <c r="C2286" s="981">
        <v>42744</v>
      </c>
      <c r="D2286" s="980">
        <v>115.01</v>
      </c>
      <c r="E2286" s="895">
        <v>13472</v>
      </c>
      <c r="F2286" s="1253"/>
      <c r="G2286" s="1251"/>
    </row>
    <row r="2287" spans="3:7">
      <c r="C2287" s="981">
        <v>42745</v>
      </c>
      <c r="D2287" s="980">
        <v>115.01</v>
      </c>
      <c r="E2287" s="895">
        <v>13472</v>
      </c>
      <c r="F2287" s="1253"/>
      <c r="G2287" s="1251"/>
    </row>
    <row r="2288" spans="3:7">
      <c r="C2288" s="981">
        <v>42746</v>
      </c>
      <c r="D2288" s="980">
        <v>114.68</v>
      </c>
      <c r="E2288" s="895">
        <v>13409</v>
      </c>
      <c r="F2288" s="1253"/>
      <c r="G2288" s="1251"/>
    </row>
    <row r="2289" spans="3:7">
      <c r="C2289" s="981">
        <v>42747</v>
      </c>
      <c r="D2289" s="980">
        <v>114.68</v>
      </c>
      <c r="E2289" s="895">
        <v>13409</v>
      </c>
      <c r="F2289" s="1253"/>
      <c r="G2289" s="1251"/>
    </row>
    <row r="2290" spans="3:7">
      <c r="C2290" s="981">
        <v>42748</v>
      </c>
      <c r="D2290" s="980">
        <v>114.68</v>
      </c>
      <c r="E2290" s="895">
        <v>13409</v>
      </c>
      <c r="F2290" s="1253"/>
      <c r="G2290" s="1251"/>
    </row>
    <row r="2291" spans="3:7">
      <c r="C2291" s="981">
        <v>42749</v>
      </c>
      <c r="D2291" s="980">
        <v>114.68</v>
      </c>
      <c r="E2291" s="895">
        <v>13409</v>
      </c>
      <c r="F2291" s="1253"/>
      <c r="G2291" s="1251"/>
    </row>
    <row r="2292" spans="3:7">
      <c r="C2292" s="981">
        <v>42750</v>
      </c>
      <c r="D2292" s="980">
        <v>114.68</v>
      </c>
      <c r="E2292" s="895">
        <v>13409</v>
      </c>
      <c r="F2292" s="1253"/>
      <c r="G2292" s="1251"/>
    </row>
    <row r="2293" spans="3:7">
      <c r="C2293" s="981">
        <v>42751</v>
      </c>
      <c r="D2293" s="980">
        <v>114.68</v>
      </c>
      <c r="E2293" s="895">
        <v>13409</v>
      </c>
      <c r="F2293" s="1253"/>
      <c r="G2293" s="1251"/>
    </row>
    <row r="2294" spans="3:7">
      <c r="C2294" s="981">
        <v>42752</v>
      </c>
      <c r="D2294" s="980">
        <v>114.68</v>
      </c>
      <c r="E2294" s="895">
        <v>13409</v>
      </c>
      <c r="F2294" s="1253"/>
      <c r="G2294" s="1251"/>
    </row>
    <row r="2295" spans="3:7">
      <c r="C2295" s="981">
        <v>42753</v>
      </c>
      <c r="D2295" s="980">
        <v>115.86</v>
      </c>
      <c r="E2295" s="895">
        <v>13318</v>
      </c>
      <c r="F2295" s="1253"/>
      <c r="G2295" s="1251"/>
    </row>
    <row r="2296" spans="3:7">
      <c r="C2296" s="981">
        <v>42754</v>
      </c>
      <c r="D2296" s="980">
        <v>115.86</v>
      </c>
      <c r="E2296" s="895">
        <v>13318</v>
      </c>
      <c r="F2296" s="1253"/>
      <c r="G2296" s="1251"/>
    </row>
    <row r="2297" spans="3:7">
      <c r="C2297" s="981">
        <v>42755</v>
      </c>
      <c r="D2297" s="980">
        <v>115.86</v>
      </c>
      <c r="E2297" s="895">
        <v>13318</v>
      </c>
      <c r="F2297" s="1253"/>
      <c r="G2297" s="1251"/>
    </row>
    <row r="2298" spans="3:7">
      <c r="C2298" s="981">
        <v>42756</v>
      </c>
      <c r="D2298" s="980">
        <v>115.86</v>
      </c>
      <c r="E2298" s="895">
        <v>13318</v>
      </c>
      <c r="F2298" s="1253"/>
      <c r="G2298" s="1251"/>
    </row>
    <row r="2299" spans="3:7">
      <c r="C2299" s="981">
        <v>42757</v>
      </c>
      <c r="D2299" s="980">
        <v>115.86</v>
      </c>
      <c r="E2299" s="895">
        <v>13318</v>
      </c>
      <c r="F2299" s="1253"/>
      <c r="G2299" s="1251"/>
    </row>
    <row r="2300" spans="3:7">
      <c r="C2300" s="981">
        <v>42758</v>
      </c>
      <c r="D2300" s="980">
        <v>115.86</v>
      </c>
      <c r="E2300" s="895">
        <v>13318</v>
      </c>
      <c r="F2300" s="1253"/>
      <c r="G2300" s="1251"/>
    </row>
    <row r="2301" spans="3:7">
      <c r="C2301" s="981">
        <v>42759</v>
      </c>
      <c r="D2301" s="980">
        <v>115.86</v>
      </c>
      <c r="E2301" s="895">
        <v>13318</v>
      </c>
      <c r="F2301" s="1253"/>
      <c r="G2301" s="1251"/>
    </row>
    <row r="2302" spans="3:7">
      <c r="C2302" s="981">
        <v>42760</v>
      </c>
      <c r="D2302" s="980">
        <v>117.15</v>
      </c>
      <c r="E2302" s="895">
        <v>13367</v>
      </c>
      <c r="F2302" s="1253"/>
      <c r="G2302" s="1251"/>
    </row>
    <row r="2303" spans="3:7">
      <c r="C2303" s="981">
        <v>42761</v>
      </c>
      <c r="D2303" s="980">
        <v>117.15</v>
      </c>
      <c r="E2303" s="895">
        <v>13367</v>
      </c>
      <c r="F2303" s="1253"/>
      <c r="G2303" s="1251"/>
    </row>
    <row r="2304" spans="3:7">
      <c r="C2304" s="981">
        <v>42762</v>
      </c>
      <c r="D2304" s="980">
        <v>117.15</v>
      </c>
      <c r="E2304" s="895">
        <v>13367</v>
      </c>
      <c r="F2304" s="1253"/>
      <c r="G2304" s="1251"/>
    </row>
    <row r="2305" spans="3:7">
      <c r="C2305" s="981">
        <v>42763</v>
      </c>
      <c r="D2305" s="980">
        <v>117.15</v>
      </c>
      <c r="E2305" s="895">
        <v>13367</v>
      </c>
      <c r="F2305" s="1253"/>
      <c r="G2305" s="1251"/>
    </row>
    <row r="2306" spans="3:7">
      <c r="C2306" s="981">
        <v>42764</v>
      </c>
      <c r="D2306" s="980">
        <v>117.15</v>
      </c>
      <c r="E2306" s="895">
        <v>13367</v>
      </c>
      <c r="F2306" s="1253"/>
      <c r="G2306" s="1251"/>
    </row>
    <row r="2307" spans="3:7">
      <c r="C2307" s="981">
        <v>42765</v>
      </c>
      <c r="D2307" s="980">
        <v>117.15</v>
      </c>
      <c r="E2307" s="895">
        <v>13367</v>
      </c>
      <c r="F2307" s="1253"/>
      <c r="G2307" s="1251"/>
    </row>
    <row r="2308" spans="3:7">
      <c r="C2308" s="981">
        <v>42766</v>
      </c>
      <c r="D2308" s="980">
        <v>117.15</v>
      </c>
      <c r="E2308" s="895">
        <v>13367</v>
      </c>
      <c r="F2308" s="1253"/>
      <c r="G2308" s="1251"/>
    </row>
    <row r="2309" spans="3:7">
      <c r="C2309" s="981">
        <v>42767</v>
      </c>
      <c r="D2309" s="980">
        <v>116.82</v>
      </c>
      <c r="E2309" s="895">
        <v>13343</v>
      </c>
      <c r="F2309" s="1253"/>
      <c r="G2309" s="1251"/>
    </row>
    <row r="2310" spans="3:7">
      <c r="C2310" s="981">
        <v>42768</v>
      </c>
      <c r="D2310" s="980">
        <v>116.82</v>
      </c>
      <c r="E2310" s="895">
        <v>13343</v>
      </c>
      <c r="F2310" s="1253"/>
      <c r="G2310" s="1251"/>
    </row>
    <row r="2311" spans="3:7">
      <c r="C2311" s="981">
        <v>42769</v>
      </c>
      <c r="D2311" s="980">
        <v>116.82</v>
      </c>
      <c r="E2311" s="895">
        <v>13343</v>
      </c>
      <c r="F2311" s="1253"/>
      <c r="G2311" s="1251"/>
    </row>
    <row r="2312" spans="3:7">
      <c r="C2312" s="981">
        <v>42770</v>
      </c>
      <c r="D2312" s="980">
        <v>116.82</v>
      </c>
      <c r="E2312" s="895">
        <v>13343</v>
      </c>
      <c r="F2312" s="1253"/>
      <c r="G2312" s="1251"/>
    </row>
    <row r="2313" spans="3:7">
      <c r="C2313" s="981">
        <v>42771</v>
      </c>
      <c r="D2313" s="980">
        <v>116.82</v>
      </c>
      <c r="E2313" s="895">
        <v>13343</v>
      </c>
      <c r="F2313" s="1253"/>
      <c r="G2313" s="1251"/>
    </row>
    <row r="2314" spans="3:7">
      <c r="C2314" s="981">
        <v>42772</v>
      </c>
      <c r="D2314" s="980">
        <v>116.82</v>
      </c>
      <c r="E2314" s="895">
        <v>13343</v>
      </c>
      <c r="F2314" s="1253"/>
      <c r="G2314" s="1251"/>
    </row>
    <row r="2315" spans="3:7">
      <c r="C2315" s="981">
        <v>42773</v>
      </c>
      <c r="D2315" s="980">
        <v>116.82</v>
      </c>
      <c r="E2315" s="895">
        <v>13343</v>
      </c>
      <c r="F2315" s="1253"/>
      <c r="G2315" s="1251"/>
    </row>
    <row r="2316" spans="3:7">
      <c r="C2316" s="981">
        <v>42774</v>
      </c>
      <c r="D2316" s="980">
        <v>118.4</v>
      </c>
      <c r="E2316" s="895">
        <v>13352</v>
      </c>
      <c r="F2316" s="1253"/>
      <c r="G2316" s="1251"/>
    </row>
    <row r="2317" spans="3:7">
      <c r="C2317" s="981">
        <v>42775</v>
      </c>
      <c r="D2317" s="980">
        <v>118.4</v>
      </c>
      <c r="E2317" s="895">
        <v>13352</v>
      </c>
      <c r="F2317" s="1253"/>
      <c r="G2317" s="1251"/>
    </row>
    <row r="2318" spans="3:7">
      <c r="C2318" s="981">
        <v>42776</v>
      </c>
      <c r="D2318" s="980">
        <v>118.4</v>
      </c>
      <c r="E2318" s="895">
        <v>13352</v>
      </c>
      <c r="F2318" s="1253"/>
      <c r="G2318" s="1251"/>
    </row>
    <row r="2319" spans="3:7">
      <c r="C2319" s="981">
        <v>42777</v>
      </c>
      <c r="D2319" s="980">
        <v>118.4</v>
      </c>
      <c r="E2319" s="895">
        <v>13352</v>
      </c>
      <c r="F2319" s="1253"/>
      <c r="G2319" s="1251"/>
    </row>
    <row r="2320" spans="3:7">
      <c r="C2320" s="981">
        <v>42778</v>
      </c>
      <c r="D2320" s="980">
        <v>118.4</v>
      </c>
      <c r="E2320" s="895">
        <v>13352</v>
      </c>
      <c r="F2320" s="1253"/>
      <c r="G2320" s="1251"/>
    </row>
    <row r="2321" spans="3:7">
      <c r="C2321" s="981">
        <v>42779</v>
      </c>
      <c r="D2321" s="980">
        <v>118.4</v>
      </c>
      <c r="E2321" s="895">
        <v>13352</v>
      </c>
      <c r="F2321" s="1253"/>
      <c r="G2321" s="1251"/>
    </row>
    <row r="2322" spans="3:7">
      <c r="C2322" s="981">
        <v>42780</v>
      </c>
      <c r="D2322" s="980">
        <v>118.4</v>
      </c>
      <c r="E2322" s="895">
        <v>13352</v>
      </c>
      <c r="F2322" s="1253"/>
      <c r="G2322" s="1251"/>
    </row>
    <row r="2323" spans="3:7">
      <c r="C2323" s="981">
        <v>42781</v>
      </c>
      <c r="D2323" s="980">
        <v>117.93</v>
      </c>
      <c r="E2323" s="895" t="s">
        <v>1302</v>
      </c>
      <c r="F2323" s="1253"/>
      <c r="G2323" s="1251"/>
    </row>
    <row r="2324" spans="3:7">
      <c r="C2324" s="981">
        <v>42782</v>
      </c>
      <c r="D2324" s="980">
        <v>117.93</v>
      </c>
      <c r="E2324" s="895" t="s">
        <v>1302</v>
      </c>
      <c r="F2324" s="1253"/>
      <c r="G2324" s="1251"/>
    </row>
    <row r="2325" spans="3:7">
      <c r="C2325" s="981">
        <v>42783</v>
      </c>
      <c r="D2325" s="980">
        <v>117.93</v>
      </c>
      <c r="E2325" s="895" t="s">
        <v>1302</v>
      </c>
      <c r="F2325" s="1253"/>
      <c r="G2325" s="1251"/>
    </row>
    <row r="2326" spans="3:7">
      <c r="C2326" s="981">
        <v>42784</v>
      </c>
      <c r="D2326" s="980">
        <v>117.93</v>
      </c>
      <c r="E2326" s="895" t="s">
        <v>1302</v>
      </c>
      <c r="F2326" s="1253"/>
      <c r="G2326" s="1251"/>
    </row>
    <row r="2327" spans="3:7">
      <c r="C2327" s="981">
        <v>42785</v>
      </c>
      <c r="D2327" s="980">
        <v>117.93</v>
      </c>
      <c r="E2327" s="895" t="s">
        <v>1302</v>
      </c>
      <c r="F2327" s="1253"/>
      <c r="G2327" s="1251"/>
    </row>
    <row r="2328" spans="3:7">
      <c r="C2328" s="981">
        <v>42786</v>
      </c>
      <c r="D2328" s="980">
        <v>117.93</v>
      </c>
      <c r="E2328" s="895" t="s">
        <v>1302</v>
      </c>
      <c r="F2328" s="1253"/>
      <c r="G2328" s="1251"/>
    </row>
    <row r="2329" spans="3:7">
      <c r="C2329" s="981">
        <v>42787</v>
      </c>
      <c r="D2329" s="980">
        <v>117.93</v>
      </c>
      <c r="E2329" s="895" t="s">
        <v>1302</v>
      </c>
      <c r="F2329" s="1253"/>
      <c r="G2329" s="1251"/>
    </row>
    <row r="2330" spans="3:7">
      <c r="C2330" s="981">
        <v>42788</v>
      </c>
      <c r="D2330" s="980">
        <v>117.45</v>
      </c>
      <c r="E2330" s="895">
        <v>13332</v>
      </c>
      <c r="F2330" s="1253"/>
      <c r="G2330" s="1251"/>
    </row>
    <row r="2331" spans="3:7">
      <c r="C2331" s="981">
        <v>42789</v>
      </c>
      <c r="D2331" s="980">
        <v>117.45</v>
      </c>
      <c r="E2331" s="895">
        <v>13332</v>
      </c>
      <c r="F2331" s="1253"/>
      <c r="G2331" s="1251"/>
    </row>
    <row r="2332" spans="3:7">
      <c r="C2332" s="981">
        <v>42790</v>
      </c>
      <c r="D2332" s="980">
        <v>117.45</v>
      </c>
      <c r="E2332" s="895">
        <v>13332</v>
      </c>
      <c r="F2332" s="1253"/>
      <c r="G2332" s="1251"/>
    </row>
    <row r="2333" spans="3:7">
      <c r="C2333" s="981">
        <v>42791</v>
      </c>
      <c r="D2333" s="980">
        <v>117.45</v>
      </c>
      <c r="E2333" s="895">
        <v>13332</v>
      </c>
      <c r="F2333" s="1253"/>
      <c r="G2333" s="1251"/>
    </row>
    <row r="2334" spans="3:7">
      <c r="C2334" s="981">
        <v>42792</v>
      </c>
      <c r="D2334" s="980">
        <v>117.45</v>
      </c>
      <c r="E2334" s="895">
        <v>13332</v>
      </c>
      <c r="F2334" s="1253"/>
      <c r="G2334" s="1251"/>
    </row>
    <row r="2335" spans="3:7">
      <c r="C2335" s="981">
        <v>42793</v>
      </c>
      <c r="D2335" s="980">
        <v>117.45</v>
      </c>
      <c r="E2335" s="895">
        <v>13332</v>
      </c>
      <c r="F2335" s="1253"/>
      <c r="G2335" s="1251"/>
    </row>
    <row r="2336" spans="3:7">
      <c r="C2336" s="981">
        <v>42794</v>
      </c>
      <c r="D2336" s="980">
        <v>117.45</v>
      </c>
      <c r="E2336" s="895">
        <v>13332</v>
      </c>
      <c r="F2336" s="1253"/>
      <c r="G2336" s="1251"/>
    </row>
    <row r="2337" spans="3:7">
      <c r="C2337" s="981">
        <v>42795</v>
      </c>
      <c r="D2337" s="980">
        <v>118.43</v>
      </c>
      <c r="E2337" s="895">
        <v>13353</v>
      </c>
      <c r="F2337" s="1253"/>
      <c r="G2337" s="1251"/>
    </row>
    <row r="2338" spans="3:7">
      <c r="C2338" s="981">
        <v>42796</v>
      </c>
      <c r="D2338" s="980">
        <v>118.43</v>
      </c>
      <c r="E2338" s="895">
        <v>13353</v>
      </c>
      <c r="F2338" s="1253"/>
      <c r="G2338" s="1251"/>
    </row>
    <row r="2339" spans="3:7">
      <c r="C2339" s="981">
        <v>42797</v>
      </c>
      <c r="D2339" s="980">
        <v>118.43</v>
      </c>
      <c r="E2339" s="895">
        <v>13353</v>
      </c>
      <c r="F2339" s="1253"/>
      <c r="G2339" s="1251"/>
    </row>
    <row r="2340" spans="3:7">
      <c r="C2340" s="981">
        <v>42798</v>
      </c>
      <c r="D2340" s="980">
        <v>118.43</v>
      </c>
      <c r="E2340" s="895">
        <v>13353</v>
      </c>
      <c r="F2340" s="1253"/>
      <c r="G2340" s="1251"/>
    </row>
    <row r="2341" spans="3:7">
      <c r="C2341" s="981">
        <v>42799</v>
      </c>
      <c r="D2341" s="980">
        <v>118.43</v>
      </c>
      <c r="E2341" s="895">
        <v>13353</v>
      </c>
      <c r="F2341" s="1253"/>
      <c r="G2341" s="1251"/>
    </row>
    <row r="2342" spans="3:7">
      <c r="C2342" s="981">
        <v>42800</v>
      </c>
      <c r="D2342" s="980">
        <v>118.43</v>
      </c>
      <c r="E2342" s="895">
        <v>13353</v>
      </c>
      <c r="F2342" s="1253"/>
      <c r="G2342" s="1251"/>
    </row>
    <row r="2343" spans="3:7">
      <c r="C2343" s="981">
        <v>42801</v>
      </c>
      <c r="D2343" s="980">
        <v>118.43</v>
      </c>
      <c r="E2343" s="895">
        <v>13353</v>
      </c>
      <c r="F2343" s="1253"/>
      <c r="G2343" s="1251"/>
    </row>
    <row r="2344" spans="3:7">
      <c r="C2344" s="981">
        <v>42802</v>
      </c>
      <c r="D2344" s="980">
        <v>117.44</v>
      </c>
      <c r="E2344" s="895">
        <v>13361</v>
      </c>
      <c r="F2344" s="1253"/>
      <c r="G2344" s="1251"/>
    </row>
    <row r="2345" spans="3:7">
      <c r="C2345" s="981">
        <v>42803</v>
      </c>
      <c r="D2345" s="980">
        <v>117.44</v>
      </c>
      <c r="E2345" s="895">
        <v>13361</v>
      </c>
      <c r="F2345" s="1253"/>
      <c r="G2345" s="1251"/>
    </row>
    <row r="2346" spans="3:7">
      <c r="C2346" s="981">
        <v>42804</v>
      </c>
      <c r="D2346" s="980">
        <v>117.44</v>
      </c>
      <c r="E2346" s="895">
        <v>13361</v>
      </c>
      <c r="F2346" s="1253"/>
      <c r="G2346" s="1251"/>
    </row>
    <row r="2347" spans="3:7">
      <c r="C2347" s="981">
        <v>42805</v>
      </c>
      <c r="D2347" s="980">
        <v>117.44</v>
      </c>
      <c r="E2347" s="895">
        <v>13361</v>
      </c>
      <c r="F2347" s="1253"/>
      <c r="G2347" s="1251"/>
    </row>
    <row r="2348" spans="3:7">
      <c r="C2348" s="981">
        <v>42806</v>
      </c>
      <c r="D2348" s="980">
        <v>117.44</v>
      </c>
      <c r="E2348" s="895">
        <v>13361</v>
      </c>
      <c r="F2348" s="1253"/>
      <c r="G2348" s="1251"/>
    </row>
    <row r="2349" spans="3:7">
      <c r="C2349" s="981">
        <v>42807</v>
      </c>
      <c r="D2349" s="980">
        <v>117.44</v>
      </c>
      <c r="E2349" s="895">
        <v>13361</v>
      </c>
      <c r="F2349" s="1253"/>
      <c r="G2349" s="1251"/>
    </row>
    <row r="2350" spans="3:7">
      <c r="C2350" s="981">
        <v>42808</v>
      </c>
      <c r="D2350" s="980">
        <v>117.44</v>
      </c>
      <c r="E2350" s="895">
        <v>13361</v>
      </c>
      <c r="F2350" s="1253"/>
      <c r="G2350" s="1251"/>
    </row>
    <row r="2351" spans="3:7">
      <c r="C2351" s="981">
        <v>42809</v>
      </c>
      <c r="D2351" s="980">
        <v>116.66</v>
      </c>
      <c r="E2351" s="895">
        <v>13365</v>
      </c>
      <c r="F2351" s="1253"/>
      <c r="G2351" s="1251"/>
    </row>
    <row r="2352" spans="3:7">
      <c r="C2352" s="981">
        <v>42810</v>
      </c>
      <c r="D2352" s="980">
        <v>116.66</v>
      </c>
      <c r="E2352" s="895">
        <v>13365</v>
      </c>
      <c r="F2352" s="1253"/>
      <c r="G2352" s="1251"/>
    </row>
    <row r="2353" spans="3:7">
      <c r="C2353" s="981">
        <v>42811</v>
      </c>
      <c r="D2353" s="980">
        <v>116.66</v>
      </c>
      <c r="E2353" s="895">
        <v>13365</v>
      </c>
      <c r="F2353" s="1253"/>
      <c r="G2353" s="1251"/>
    </row>
    <row r="2354" spans="3:7">
      <c r="C2354" s="981">
        <v>42812</v>
      </c>
      <c r="D2354" s="980">
        <v>116.66</v>
      </c>
      <c r="E2354" s="895">
        <v>13365</v>
      </c>
      <c r="F2354" s="1253"/>
      <c r="G2354" s="1251"/>
    </row>
    <row r="2355" spans="3:7">
      <c r="C2355" s="981">
        <v>42813</v>
      </c>
      <c r="D2355" s="980">
        <v>116.66</v>
      </c>
      <c r="E2355" s="895">
        <v>13365</v>
      </c>
      <c r="F2355" s="1253"/>
      <c r="G2355" s="1251"/>
    </row>
    <row r="2356" spans="3:7">
      <c r="C2356" s="981">
        <v>42814</v>
      </c>
      <c r="D2356" s="980">
        <v>116.66</v>
      </c>
      <c r="E2356" s="895">
        <v>13365</v>
      </c>
      <c r="F2356" s="1253"/>
      <c r="G2356" s="1251"/>
    </row>
    <row r="2357" spans="3:7">
      <c r="C2357" s="981">
        <v>42815</v>
      </c>
      <c r="D2357" s="980">
        <v>116.66</v>
      </c>
      <c r="E2357" s="895">
        <v>13365</v>
      </c>
      <c r="F2357" s="1253"/>
      <c r="G2357" s="1251"/>
    </row>
    <row r="2358" spans="3:7">
      <c r="C2358" s="981">
        <v>42816</v>
      </c>
      <c r="D2358" s="980">
        <v>117.81</v>
      </c>
      <c r="E2358" s="895">
        <v>13354</v>
      </c>
      <c r="F2358" s="1253"/>
      <c r="G2358" s="1251"/>
    </row>
    <row r="2359" spans="3:7">
      <c r="C2359" s="981">
        <v>42817</v>
      </c>
      <c r="D2359" s="980">
        <v>117.81</v>
      </c>
      <c r="E2359" s="895">
        <v>13354</v>
      </c>
      <c r="F2359" s="1253"/>
      <c r="G2359" s="1251"/>
    </row>
    <row r="2360" spans="3:7">
      <c r="C2360" s="981">
        <v>42818</v>
      </c>
      <c r="D2360" s="980">
        <v>117.81</v>
      </c>
      <c r="E2360" s="895">
        <v>13354</v>
      </c>
      <c r="F2360" s="1253"/>
      <c r="G2360" s="1251"/>
    </row>
    <row r="2361" spans="3:7">
      <c r="C2361" s="981">
        <v>42819</v>
      </c>
      <c r="D2361" s="980">
        <v>117.81</v>
      </c>
      <c r="E2361" s="895">
        <v>13354</v>
      </c>
      <c r="F2361" s="1253"/>
      <c r="G2361" s="1251"/>
    </row>
    <row r="2362" spans="3:7">
      <c r="C2362" s="981">
        <v>42820</v>
      </c>
      <c r="D2362" s="980">
        <v>117.81</v>
      </c>
      <c r="E2362" s="895">
        <v>13354</v>
      </c>
      <c r="F2362" s="1253"/>
      <c r="G2362" s="1251"/>
    </row>
    <row r="2363" spans="3:7">
      <c r="C2363" s="981">
        <v>42821</v>
      </c>
      <c r="D2363" s="980">
        <v>117.81</v>
      </c>
      <c r="E2363" s="895">
        <v>13354</v>
      </c>
      <c r="F2363" s="1253"/>
      <c r="G2363" s="1251"/>
    </row>
    <row r="2364" spans="3:7">
      <c r="C2364" s="981">
        <v>42822</v>
      </c>
      <c r="D2364" s="980">
        <v>117.81</v>
      </c>
      <c r="E2364" s="895">
        <v>13354</v>
      </c>
      <c r="F2364" s="1253"/>
      <c r="G2364" s="1251"/>
    </row>
    <row r="2365" spans="3:7">
      <c r="C2365" s="981">
        <v>42823</v>
      </c>
      <c r="D2365" s="980">
        <v>119.91</v>
      </c>
      <c r="E2365" s="895" t="s">
        <v>1303</v>
      </c>
      <c r="F2365" s="1253"/>
      <c r="G2365" s="1251"/>
    </row>
    <row r="2366" spans="3:7">
      <c r="C2366" s="981">
        <v>42824</v>
      </c>
      <c r="D2366" s="980">
        <v>119.91</v>
      </c>
      <c r="E2366" s="895" t="s">
        <v>1303</v>
      </c>
      <c r="F2366" s="1253"/>
      <c r="G2366" s="1251"/>
    </row>
    <row r="2367" spans="3:7">
      <c r="C2367" s="981">
        <v>42825</v>
      </c>
      <c r="D2367" s="980">
        <v>119.91</v>
      </c>
      <c r="E2367" s="895" t="s">
        <v>1303</v>
      </c>
      <c r="F2367" s="1253"/>
      <c r="G2367" s="1251"/>
    </row>
    <row r="2368" spans="3:7">
      <c r="C2368" s="981">
        <v>42826</v>
      </c>
      <c r="D2368" s="980">
        <v>119.91</v>
      </c>
      <c r="E2368" s="895" t="s">
        <v>1303</v>
      </c>
      <c r="F2368" s="1253"/>
      <c r="G2368" s="1251"/>
    </row>
    <row r="2369" spans="3:7">
      <c r="C2369" s="981">
        <v>42827</v>
      </c>
      <c r="D2369" s="980">
        <v>119.91</v>
      </c>
      <c r="E2369" s="895" t="s">
        <v>1303</v>
      </c>
      <c r="F2369" s="1253"/>
      <c r="G2369" s="1251"/>
    </row>
    <row r="2370" spans="3:7">
      <c r="C2370" s="981">
        <v>42828</v>
      </c>
      <c r="D2370" s="980">
        <v>119.91</v>
      </c>
      <c r="E2370" s="895" t="s">
        <v>1303</v>
      </c>
      <c r="F2370" s="1253"/>
      <c r="G2370" s="1251"/>
    </row>
    <row r="2371" spans="3:7">
      <c r="C2371" s="981">
        <v>42829</v>
      </c>
      <c r="D2371" s="980">
        <v>119.91</v>
      </c>
      <c r="E2371" s="895" t="s">
        <v>1303</v>
      </c>
      <c r="F2371" s="1253"/>
      <c r="G2371" s="1251"/>
    </row>
    <row r="2372" spans="3:7">
      <c r="C2372" s="981">
        <v>42830</v>
      </c>
      <c r="D2372" s="980">
        <v>119.59</v>
      </c>
      <c r="E2372" s="895" t="s">
        <v>1304</v>
      </c>
      <c r="F2372" s="1253"/>
      <c r="G2372" s="1251"/>
    </row>
    <row r="2373" spans="3:7">
      <c r="C2373" s="981">
        <v>42831</v>
      </c>
      <c r="D2373" s="980">
        <v>119.59</v>
      </c>
      <c r="E2373" s="895" t="s">
        <v>1304</v>
      </c>
      <c r="F2373" s="1253"/>
      <c r="G2373" s="1251"/>
    </row>
    <row r="2374" spans="3:7">
      <c r="C2374" s="981">
        <v>42832</v>
      </c>
      <c r="D2374" s="980">
        <v>119.59</v>
      </c>
      <c r="E2374" s="895" t="s">
        <v>1304</v>
      </c>
      <c r="F2374" s="1253"/>
      <c r="G2374" s="1251"/>
    </row>
    <row r="2375" spans="3:7">
      <c r="C2375" s="981">
        <v>42833</v>
      </c>
      <c r="D2375" s="980">
        <v>119.59</v>
      </c>
      <c r="E2375" s="895" t="s">
        <v>1304</v>
      </c>
      <c r="F2375" s="1253"/>
      <c r="G2375" s="1251"/>
    </row>
    <row r="2376" spans="3:7">
      <c r="C2376" s="981">
        <v>42834</v>
      </c>
      <c r="D2376" s="980">
        <v>119.59</v>
      </c>
      <c r="E2376" s="895" t="s">
        <v>1304</v>
      </c>
      <c r="F2376" s="1253"/>
      <c r="G2376" s="1251"/>
    </row>
    <row r="2377" spans="3:7">
      <c r="C2377" s="981">
        <v>42835</v>
      </c>
      <c r="D2377" s="980">
        <v>119.59</v>
      </c>
      <c r="E2377" s="895" t="s">
        <v>1304</v>
      </c>
      <c r="F2377" s="1253"/>
      <c r="G2377" s="1251"/>
    </row>
    <row r="2378" spans="3:7">
      <c r="C2378" s="981">
        <v>42836</v>
      </c>
      <c r="D2378" s="980">
        <v>119.59</v>
      </c>
      <c r="E2378" s="895" t="s">
        <v>1304</v>
      </c>
      <c r="F2378" s="1253"/>
      <c r="G2378" s="1251"/>
    </row>
    <row r="2379" spans="3:7">
      <c r="C2379" s="981">
        <v>42837</v>
      </c>
      <c r="D2379" s="980">
        <v>120.08</v>
      </c>
      <c r="E2379" s="895">
        <v>13325</v>
      </c>
      <c r="F2379" s="1253"/>
      <c r="G2379" s="1251"/>
    </row>
    <row r="2380" spans="3:7">
      <c r="C2380" s="981">
        <v>42838</v>
      </c>
      <c r="D2380" s="980">
        <v>120.08</v>
      </c>
      <c r="E2380" s="895">
        <v>13325</v>
      </c>
      <c r="F2380" s="1253"/>
      <c r="G2380" s="1251"/>
    </row>
    <row r="2381" spans="3:7">
      <c r="C2381" s="981">
        <v>42839</v>
      </c>
      <c r="D2381" s="980">
        <v>120.08</v>
      </c>
      <c r="E2381" s="895">
        <v>13325</v>
      </c>
      <c r="F2381" s="1253"/>
      <c r="G2381" s="1251"/>
    </row>
    <row r="2382" spans="3:7">
      <c r="C2382" s="981">
        <v>42840</v>
      </c>
      <c r="D2382" s="980">
        <v>120.08</v>
      </c>
      <c r="E2382" s="895">
        <v>13325</v>
      </c>
      <c r="F2382" s="1253"/>
      <c r="G2382" s="1251"/>
    </row>
    <row r="2383" spans="3:7">
      <c r="C2383" s="981">
        <v>42841</v>
      </c>
      <c r="D2383" s="980">
        <v>120.08</v>
      </c>
      <c r="E2383" s="895">
        <v>13325</v>
      </c>
      <c r="F2383" s="1253"/>
      <c r="G2383" s="1251"/>
    </row>
    <row r="2384" spans="3:7">
      <c r="C2384" s="981">
        <v>42842</v>
      </c>
      <c r="D2384" s="980">
        <v>120.08</v>
      </c>
      <c r="E2384" s="895">
        <v>13325</v>
      </c>
      <c r="F2384" s="1253"/>
      <c r="G2384" s="1251"/>
    </row>
    <row r="2385" spans="3:7">
      <c r="C2385" s="981">
        <v>42843</v>
      </c>
      <c r="D2385" s="980">
        <v>120.08</v>
      </c>
      <c r="E2385" s="895">
        <v>13325</v>
      </c>
      <c r="F2385" s="1253"/>
      <c r="G2385" s="1251"/>
    </row>
    <row r="2386" spans="3:7">
      <c r="C2386" s="981">
        <v>42844</v>
      </c>
      <c r="D2386" s="980">
        <v>121.83</v>
      </c>
      <c r="E2386" s="895">
        <v>13274</v>
      </c>
      <c r="F2386" s="1253"/>
      <c r="G2386" s="1251"/>
    </row>
    <row r="2387" spans="3:7">
      <c r="C2387" s="981">
        <v>42845</v>
      </c>
      <c r="D2387" s="980">
        <v>121.83</v>
      </c>
      <c r="E2387" s="895">
        <v>13274</v>
      </c>
      <c r="F2387" s="1253"/>
      <c r="G2387" s="1251"/>
    </row>
    <row r="2388" spans="3:7">
      <c r="C2388" s="981">
        <v>42846</v>
      </c>
      <c r="D2388" s="980">
        <v>121.83</v>
      </c>
      <c r="E2388" s="895">
        <v>13274</v>
      </c>
      <c r="F2388" s="1253"/>
      <c r="G2388" s="1251"/>
    </row>
    <row r="2389" spans="3:7">
      <c r="C2389" s="981">
        <v>42847</v>
      </c>
      <c r="D2389" s="980">
        <v>121.83</v>
      </c>
      <c r="E2389" s="895">
        <v>13274</v>
      </c>
      <c r="F2389" s="1253"/>
      <c r="G2389" s="1251"/>
    </row>
    <row r="2390" spans="3:7">
      <c r="C2390" s="981">
        <v>42848</v>
      </c>
      <c r="D2390" s="980">
        <v>121.83</v>
      </c>
      <c r="E2390" s="895">
        <v>13274</v>
      </c>
      <c r="F2390" s="1253"/>
      <c r="G2390" s="1251"/>
    </row>
    <row r="2391" spans="3:7">
      <c r="C2391" s="981">
        <v>42849</v>
      </c>
      <c r="D2391" s="980">
        <v>121.83</v>
      </c>
      <c r="E2391" s="895">
        <v>13274</v>
      </c>
      <c r="F2391" s="1253"/>
      <c r="G2391" s="1251"/>
    </row>
    <row r="2392" spans="3:7">
      <c r="C2392" s="981">
        <v>42850</v>
      </c>
      <c r="D2392" s="980">
        <v>121.83</v>
      </c>
      <c r="E2392" s="895">
        <v>13274</v>
      </c>
      <c r="F2392" s="1253"/>
      <c r="G2392" s="1251"/>
    </row>
    <row r="2393" spans="3:7">
      <c r="C2393" s="981">
        <v>42851</v>
      </c>
      <c r="D2393" s="980">
        <v>121.7</v>
      </c>
      <c r="E2393" s="895">
        <v>13313</v>
      </c>
      <c r="F2393" s="1253"/>
      <c r="G2393" s="1251"/>
    </row>
    <row r="2394" spans="3:7">
      <c r="C2394" s="981">
        <v>42852</v>
      </c>
      <c r="D2394" s="980">
        <v>121.7</v>
      </c>
      <c r="E2394" s="895">
        <v>13313</v>
      </c>
      <c r="F2394" s="1253"/>
      <c r="G2394" s="1251"/>
    </row>
    <row r="2395" spans="3:7">
      <c r="C2395" s="981">
        <v>42853</v>
      </c>
      <c r="D2395" s="980">
        <v>121.7</v>
      </c>
      <c r="E2395" s="895">
        <v>13313</v>
      </c>
      <c r="F2395" s="1253"/>
      <c r="G2395" s="1251"/>
    </row>
    <row r="2396" spans="3:7">
      <c r="C2396" s="981">
        <v>42854</v>
      </c>
      <c r="D2396" s="980">
        <v>121.7</v>
      </c>
      <c r="E2396" s="895">
        <v>13313</v>
      </c>
      <c r="F2396" s="1253"/>
      <c r="G2396" s="1251"/>
    </row>
    <row r="2397" spans="3:7">
      <c r="C2397" s="981">
        <v>42855</v>
      </c>
      <c r="D2397" s="980">
        <v>121.7</v>
      </c>
      <c r="E2397" s="895">
        <v>13313</v>
      </c>
      <c r="F2397" s="1253"/>
      <c r="G2397" s="1251"/>
    </row>
    <row r="2398" spans="3:7">
      <c r="C2398" s="981">
        <v>42856</v>
      </c>
      <c r="D2398" s="980">
        <v>121.7</v>
      </c>
      <c r="E2398" s="895">
        <v>13313</v>
      </c>
      <c r="F2398" s="1253"/>
      <c r="G2398" s="1251"/>
    </row>
    <row r="2399" spans="3:7">
      <c r="C2399" s="981">
        <v>42857</v>
      </c>
      <c r="D2399" s="980">
        <v>121.7</v>
      </c>
      <c r="E2399" s="895">
        <v>13313</v>
      </c>
      <c r="F2399" s="1253"/>
      <c r="G2399" s="1251"/>
    </row>
    <row r="2400" spans="3:7">
      <c r="C2400" s="981">
        <v>42858</v>
      </c>
      <c r="D2400" s="980">
        <v>119.4</v>
      </c>
      <c r="E2400" s="895">
        <v>13314</v>
      </c>
      <c r="F2400" s="1253"/>
      <c r="G2400" s="1251"/>
    </row>
    <row r="2401" spans="3:7">
      <c r="C2401" s="981">
        <v>42859</v>
      </c>
      <c r="D2401" s="980">
        <v>119.4</v>
      </c>
      <c r="E2401" s="895">
        <v>13314</v>
      </c>
      <c r="F2401" s="1253"/>
      <c r="G2401" s="1251"/>
    </row>
    <row r="2402" spans="3:7">
      <c r="C2402" s="981">
        <v>42860</v>
      </c>
      <c r="D2402" s="980">
        <v>119.4</v>
      </c>
      <c r="E2402" s="895">
        <v>13314</v>
      </c>
      <c r="F2402" s="1253"/>
      <c r="G2402" s="1251"/>
    </row>
    <row r="2403" spans="3:7">
      <c r="C2403" s="981">
        <v>42861</v>
      </c>
      <c r="D2403" s="980">
        <v>119.4</v>
      </c>
      <c r="E2403" s="895">
        <v>13314</v>
      </c>
      <c r="F2403" s="1253"/>
      <c r="G2403" s="1251"/>
    </row>
    <row r="2404" spans="3:7">
      <c r="C2404" s="981">
        <v>42862</v>
      </c>
      <c r="D2404" s="980">
        <v>119.4</v>
      </c>
      <c r="E2404" s="895">
        <v>13314</v>
      </c>
      <c r="F2404" s="1253"/>
      <c r="G2404" s="1251"/>
    </row>
    <row r="2405" spans="3:7">
      <c r="C2405" s="981">
        <v>42863</v>
      </c>
      <c r="D2405" s="980">
        <v>119.4</v>
      </c>
      <c r="E2405" s="895">
        <v>13314</v>
      </c>
      <c r="F2405" s="1253"/>
      <c r="G2405" s="1251"/>
    </row>
    <row r="2406" spans="3:7">
      <c r="C2406" s="981">
        <v>42864</v>
      </c>
      <c r="D2406" s="980">
        <v>119.4</v>
      </c>
      <c r="E2406" s="895">
        <v>13314</v>
      </c>
      <c r="F2406" s="1253"/>
      <c r="G2406" s="1251"/>
    </row>
    <row r="2407" spans="3:7">
      <c r="C2407" s="981">
        <v>42865</v>
      </c>
      <c r="D2407" s="980">
        <v>118.37</v>
      </c>
      <c r="E2407" s="895">
        <v>13318</v>
      </c>
      <c r="F2407" s="1253"/>
      <c r="G2407" s="1251"/>
    </row>
    <row r="2408" spans="3:7">
      <c r="C2408" s="981">
        <v>42866</v>
      </c>
      <c r="D2408" s="980">
        <v>118.37</v>
      </c>
      <c r="E2408" s="895">
        <v>13318</v>
      </c>
      <c r="F2408" s="1253"/>
      <c r="G2408" s="1251"/>
    </row>
    <row r="2409" spans="3:7">
      <c r="C2409" s="981">
        <v>42867</v>
      </c>
      <c r="D2409" s="980">
        <v>118.37</v>
      </c>
      <c r="E2409" s="895">
        <v>13318</v>
      </c>
      <c r="F2409" s="1253"/>
      <c r="G2409" s="1251"/>
    </row>
    <row r="2410" spans="3:7">
      <c r="C2410" s="981">
        <v>42868</v>
      </c>
      <c r="D2410" s="980">
        <v>118.37</v>
      </c>
      <c r="E2410" s="895">
        <v>13318</v>
      </c>
      <c r="F2410" s="1253"/>
      <c r="G2410" s="1251"/>
    </row>
    <row r="2411" spans="3:7">
      <c r="C2411" s="981">
        <v>42869</v>
      </c>
      <c r="D2411" s="980">
        <v>118.37</v>
      </c>
      <c r="E2411" s="895">
        <v>13318</v>
      </c>
      <c r="F2411" s="1253"/>
      <c r="G2411" s="1251"/>
    </row>
    <row r="2412" spans="3:7">
      <c r="C2412" s="981">
        <v>42870</v>
      </c>
      <c r="D2412" s="980">
        <v>118.37</v>
      </c>
      <c r="E2412" s="895">
        <v>13318</v>
      </c>
      <c r="F2412" s="1253"/>
      <c r="G2412" s="1251"/>
    </row>
    <row r="2413" spans="3:7">
      <c r="C2413" s="981">
        <v>42871</v>
      </c>
      <c r="D2413" s="980">
        <v>118.37</v>
      </c>
      <c r="E2413" s="895">
        <v>13318</v>
      </c>
      <c r="F2413" s="1253"/>
      <c r="G2413" s="1251"/>
    </row>
    <row r="2414" spans="3:7">
      <c r="C2414" s="981">
        <v>42872</v>
      </c>
      <c r="D2414" s="980">
        <v>117.26</v>
      </c>
      <c r="E2414" s="895">
        <v>13341</v>
      </c>
      <c r="F2414" s="1253"/>
      <c r="G2414" s="1251"/>
    </row>
    <row r="2415" spans="3:7">
      <c r="C2415" s="981">
        <v>42873</v>
      </c>
      <c r="D2415" s="980">
        <v>117.26</v>
      </c>
      <c r="E2415" s="895">
        <v>13341</v>
      </c>
      <c r="F2415" s="1253"/>
      <c r="G2415" s="1251"/>
    </row>
    <row r="2416" spans="3:7">
      <c r="C2416" s="981">
        <v>42874</v>
      </c>
      <c r="D2416" s="980">
        <v>117.26</v>
      </c>
      <c r="E2416" s="895">
        <v>13341</v>
      </c>
      <c r="F2416" s="1253"/>
      <c r="G2416" s="1251"/>
    </row>
    <row r="2417" spans="3:7">
      <c r="C2417" s="981">
        <v>42875</v>
      </c>
      <c r="D2417" s="980">
        <v>117.26</v>
      </c>
      <c r="E2417" s="895">
        <v>13341</v>
      </c>
      <c r="F2417" s="1253"/>
      <c r="G2417" s="1251"/>
    </row>
    <row r="2418" spans="3:7">
      <c r="C2418" s="981">
        <v>42876</v>
      </c>
      <c r="D2418" s="980">
        <v>117.26</v>
      </c>
      <c r="E2418" s="895">
        <v>13341</v>
      </c>
      <c r="F2418" s="1253"/>
      <c r="G2418" s="1251"/>
    </row>
    <row r="2419" spans="3:7">
      <c r="C2419" s="981">
        <v>42877</v>
      </c>
      <c r="D2419" s="980">
        <v>117.26</v>
      </c>
      <c r="E2419" s="895">
        <v>13341</v>
      </c>
      <c r="F2419" s="1253"/>
      <c r="G2419" s="1251"/>
    </row>
    <row r="2420" spans="3:7">
      <c r="C2420" s="981">
        <v>42878</v>
      </c>
      <c r="D2420" s="980">
        <v>117.26</v>
      </c>
      <c r="E2420" s="895">
        <v>13341</v>
      </c>
      <c r="F2420" s="1253"/>
      <c r="G2420" s="1251"/>
    </row>
    <row r="2421" spans="3:7">
      <c r="C2421" s="981">
        <v>42879</v>
      </c>
      <c r="D2421" s="980">
        <v>119.34</v>
      </c>
      <c r="E2421" s="895">
        <v>13323</v>
      </c>
      <c r="F2421" s="1253"/>
      <c r="G2421" s="1251"/>
    </row>
    <row r="2422" spans="3:7">
      <c r="C2422" s="981">
        <v>42880</v>
      </c>
      <c r="D2422" s="980">
        <v>119.34</v>
      </c>
      <c r="E2422" s="895">
        <v>13323</v>
      </c>
      <c r="F2422" s="1253"/>
      <c r="G2422" s="1251"/>
    </row>
    <row r="2423" spans="3:7">
      <c r="C2423" s="981">
        <v>42881</v>
      </c>
      <c r="D2423" s="980">
        <v>119.34</v>
      </c>
      <c r="E2423" s="895">
        <v>13323</v>
      </c>
      <c r="F2423" s="1253"/>
      <c r="G2423" s="1251"/>
    </row>
    <row r="2424" spans="3:7">
      <c r="C2424" s="981">
        <v>42882</v>
      </c>
      <c r="D2424" s="980">
        <v>119.34</v>
      </c>
      <c r="E2424" s="895">
        <v>13323</v>
      </c>
      <c r="F2424" s="1253"/>
      <c r="G2424" s="1251"/>
    </row>
    <row r="2425" spans="3:7">
      <c r="C2425" s="981">
        <v>42883</v>
      </c>
      <c r="D2425" s="980">
        <v>119.34</v>
      </c>
      <c r="E2425" s="895">
        <v>13323</v>
      </c>
      <c r="F2425" s="1253"/>
      <c r="G2425" s="1251"/>
    </row>
    <row r="2426" spans="3:7">
      <c r="C2426" s="981">
        <v>42884</v>
      </c>
      <c r="D2426" s="980">
        <v>119.34</v>
      </c>
      <c r="E2426" s="895">
        <v>13323</v>
      </c>
      <c r="F2426" s="1253"/>
      <c r="G2426" s="1251"/>
    </row>
    <row r="2427" spans="3:7">
      <c r="C2427" s="981">
        <v>42885</v>
      </c>
      <c r="D2427" s="980">
        <v>119.34</v>
      </c>
      <c r="E2427" s="895">
        <v>13323</v>
      </c>
      <c r="F2427" s="1253"/>
      <c r="G2427" s="1251"/>
    </row>
    <row r="2428" spans="3:7">
      <c r="C2428" s="981">
        <v>42886</v>
      </c>
      <c r="D2428" s="980">
        <v>119.19</v>
      </c>
      <c r="E2428" s="895">
        <v>13297</v>
      </c>
      <c r="F2428" s="1253"/>
      <c r="G2428" s="1251"/>
    </row>
    <row r="2429" spans="3:7">
      <c r="C2429" s="981">
        <v>42887</v>
      </c>
      <c r="D2429" s="980">
        <v>119.19</v>
      </c>
      <c r="E2429" s="895">
        <v>13297</v>
      </c>
      <c r="F2429" s="1253"/>
      <c r="G2429" s="1251"/>
    </row>
    <row r="2430" spans="3:7">
      <c r="C2430" s="981">
        <v>42888</v>
      </c>
      <c r="D2430" s="980">
        <v>119.19</v>
      </c>
      <c r="E2430" s="895">
        <v>13297</v>
      </c>
      <c r="F2430" s="1253"/>
      <c r="G2430" s="1251"/>
    </row>
    <row r="2431" spans="3:7">
      <c r="C2431" s="981">
        <v>42889</v>
      </c>
      <c r="D2431" s="980">
        <v>119.19</v>
      </c>
      <c r="E2431" s="895">
        <v>13297</v>
      </c>
      <c r="F2431" s="1253"/>
      <c r="G2431" s="1251"/>
    </row>
    <row r="2432" spans="3:7">
      <c r="C2432" s="981">
        <v>42890</v>
      </c>
      <c r="D2432" s="980">
        <v>119.19</v>
      </c>
      <c r="E2432" s="895">
        <v>13297</v>
      </c>
      <c r="F2432" s="1253"/>
      <c r="G2432" s="1251"/>
    </row>
    <row r="2433" spans="3:7">
      <c r="C2433" s="981">
        <v>42891</v>
      </c>
      <c r="D2433" s="980">
        <v>119.19</v>
      </c>
      <c r="E2433" s="895">
        <v>13297</v>
      </c>
      <c r="F2433" s="1253"/>
      <c r="G2433" s="1251"/>
    </row>
    <row r="2434" spans="3:7">
      <c r="C2434" s="981">
        <v>42892</v>
      </c>
      <c r="D2434" s="980">
        <v>119.19</v>
      </c>
      <c r="E2434" s="895">
        <v>13297</v>
      </c>
      <c r="F2434" s="1253"/>
      <c r="G2434" s="1251"/>
    </row>
    <row r="2435" spans="3:7">
      <c r="C2435" s="981">
        <v>42893</v>
      </c>
      <c r="D2435" s="980">
        <v>120.15</v>
      </c>
      <c r="E2435" s="895">
        <v>13312</v>
      </c>
      <c r="F2435" s="1253"/>
      <c r="G2435" s="1251"/>
    </row>
    <row r="2436" spans="3:7">
      <c r="C2436" s="981">
        <v>42894</v>
      </c>
      <c r="D2436" s="980">
        <v>120.15</v>
      </c>
      <c r="E2436" s="895">
        <v>13312</v>
      </c>
      <c r="F2436" s="1253"/>
      <c r="G2436" s="1251"/>
    </row>
    <row r="2437" spans="3:7">
      <c r="C2437" s="981">
        <v>42895</v>
      </c>
      <c r="D2437" s="980">
        <v>120.15</v>
      </c>
      <c r="E2437" s="895">
        <v>13312</v>
      </c>
      <c r="F2437" s="1253"/>
      <c r="G2437" s="1251"/>
    </row>
    <row r="2438" spans="3:7">
      <c r="C2438" s="981">
        <v>42896</v>
      </c>
      <c r="D2438" s="980">
        <v>120.15</v>
      </c>
      <c r="E2438" s="895">
        <v>13312</v>
      </c>
      <c r="F2438" s="1253"/>
      <c r="G2438" s="1251"/>
    </row>
    <row r="2439" spans="3:7">
      <c r="C2439" s="981">
        <v>42897</v>
      </c>
      <c r="D2439" s="980">
        <v>120.15</v>
      </c>
      <c r="E2439" s="895">
        <v>13312</v>
      </c>
      <c r="F2439" s="1253"/>
      <c r="G2439" s="1251"/>
    </row>
    <row r="2440" spans="3:7">
      <c r="C2440" s="981">
        <v>42898</v>
      </c>
      <c r="D2440" s="980">
        <v>120.15</v>
      </c>
      <c r="E2440" s="895">
        <v>13312</v>
      </c>
      <c r="F2440" s="1253"/>
      <c r="G2440" s="1251"/>
    </row>
    <row r="2441" spans="3:7">
      <c r="C2441" s="981">
        <v>42899</v>
      </c>
      <c r="D2441" s="980">
        <v>120.15</v>
      </c>
      <c r="E2441" s="895">
        <v>13312</v>
      </c>
      <c r="F2441" s="1253"/>
      <c r="G2441" s="1251"/>
    </row>
    <row r="2442" spans="3:7">
      <c r="C2442" s="981">
        <v>42900</v>
      </c>
      <c r="D2442" s="980">
        <v>120.93</v>
      </c>
      <c r="E2442" s="895">
        <v>13298</v>
      </c>
      <c r="F2442" s="1253"/>
      <c r="G2442" s="1251"/>
    </row>
    <row r="2443" spans="3:7">
      <c r="C2443" s="981">
        <v>42901</v>
      </c>
      <c r="D2443" s="980">
        <v>120.93</v>
      </c>
      <c r="E2443" s="895">
        <v>13298</v>
      </c>
      <c r="F2443" s="1253"/>
      <c r="G2443" s="1251"/>
    </row>
    <row r="2444" spans="3:7">
      <c r="C2444" s="981">
        <v>42902</v>
      </c>
      <c r="D2444" s="980">
        <v>120.93</v>
      </c>
      <c r="E2444" s="895">
        <v>13298</v>
      </c>
      <c r="F2444" s="1253"/>
      <c r="G2444" s="1251"/>
    </row>
    <row r="2445" spans="3:7">
      <c r="C2445" s="981">
        <v>42903</v>
      </c>
      <c r="D2445" s="980">
        <v>120.93</v>
      </c>
      <c r="E2445" s="895">
        <v>13298</v>
      </c>
      <c r="F2445" s="1253"/>
      <c r="G2445" s="1251"/>
    </row>
    <row r="2446" spans="3:7">
      <c r="C2446" s="981">
        <v>42904</v>
      </c>
      <c r="D2446" s="980">
        <v>120.93</v>
      </c>
      <c r="E2446" s="895">
        <v>13298</v>
      </c>
      <c r="F2446" s="1253"/>
      <c r="G2446" s="1251"/>
    </row>
    <row r="2447" spans="3:7">
      <c r="C2447" s="981">
        <v>42905</v>
      </c>
      <c r="D2447" s="980">
        <v>120.93</v>
      </c>
      <c r="E2447" s="895">
        <v>13298</v>
      </c>
      <c r="F2447" s="1253"/>
      <c r="G2447" s="1251"/>
    </row>
    <row r="2448" spans="3:7">
      <c r="C2448" s="981">
        <v>42906</v>
      </c>
      <c r="D2448" s="980">
        <v>120.93</v>
      </c>
      <c r="E2448" s="895">
        <v>13298</v>
      </c>
      <c r="F2448" s="1253"/>
      <c r="G2448" s="1251"/>
    </row>
    <row r="2449" spans="3:7">
      <c r="C2449" s="981">
        <v>42907</v>
      </c>
      <c r="D2449" s="980">
        <v>119.77</v>
      </c>
      <c r="E2449" s="895">
        <v>13286</v>
      </c>
      <c r="F2449" s="1253"/>
      <c r="G2449" s="1251"/>
    </row>
    <row r="2450" spans="3:7">
      <c r="C2450" s="981">
        <v>42908</v>
      </c>
      <c r="D2450" s="980">
        <v>119.77</v>
      </c>
      <c r="E2450" s="895">
        <v>13286</v>
      </c>
      <c r="F2450" s="1253"/>
      <c r="G2450" s="1251"/>
    </row>
    <row r="2451" spans="3:7">
      <c r="C2451" s="981">
        <v>42909</v>
      </c>
      <c r="D2451" s="980">
        <v>119.77</v>
      </c>
      <c r="E2451" s="895">
        <v>13286</v>
      </c>
      <c r="F2451" s="1253"/>
      <c r="G2451" s="1251"/>
    </row>
    <row r="2452" spans="3:7">
      <c r="C2452" s="981">
        <v>42910</v>
      </c>
      <c r="D2452" s="980">
        <v>119.77</v>
      </c>
      <c r="E2452" s="895">
        <v>13286</v>
      </c>
      <c r="F2452" s="1253"/>
      <c r="G2452" s="1251"/>
    </row>
    <row r="2453" spans="3:7">
      <c r="C2453" s="981">
        <v>42911</v>
      </c>
      <c r="D2453" s="980">
        <v>119.77</v>
      </c>
      <c r="E2453" s="895">
        <v>13286</v>
      </c>
      <c r="F2453" s="1253"/>
      <c r="G2453" s="1251"/>
    </row>
    <row r="2454" spans="3:7">
      <c r="C2454" s="981">
        <v>42912</v>
      </c>
      <c r="D2454" s="980">
        <v>119.77</v>
      </c>
      <c r="E2454" s="895">
        <v>13286</v>
      </c>
      <c r="F2454" s="1253"/>
      <c r="G2454" s="1251"/>
    </row>
    <row r="2455" spans="3:7">
      <c r="C2455" s="981">
        <v>42913</v>
      </c>
      <c r="D2455" s="980">
        <v>119.77</v>
      </c>
      <c r="E2455" s="895">
        <v>13286</v>
      </c>
      <c r="F2455" s="1253"/>
      <c r="G2455" s="1251"/>
    </row>
    <row r="2456" spans="3:7">
      <c r="C2456" s="981">
        <v>42914</v>
      </c>
      <c r="D2456" s="980">
        <v>119.77</v>
      </c>
      <c r="E2456" s="895">
        <v>13286</v>
      </c>
      <c r="F2456" s="1253"/>
      <c r="G2456" s="1251"/>
    </row>
    <row r="2457" spans="3:7">
      <c r="C2457" s="981">
        <v>42915</v>
      </c>
      <c r="D2457" s="980">
        <v>119.77</v>
      </c>
      <c r="E2457" s="895">
        <v>13286</v>
      </c>
      <c r="F2457" s="1253"/>
      <c r="G2457" s="1251"/>
    </row>
    <row r="2458" spans="3:7">
      <c r="C2458" s="981">
        <v>42916</v>
      </c>
      <c r="D2458" s="980">
        <v>119.77</v>
      </c>
      <c r="E2458" s="895">
        <v>13286</v>
      </c>
      <c r="F2458" s="1253"/>
      <c r="G2458" s="1251"/>
    </row>
    <row r="2459" spans="3:7">
      <c r="C2459" s="981">
        <v>42917</v>
      </c>
      <c r="D2459" s="980">
        <v>119.77</v>
      </c>
      <c r="E2459" s="895">
        <v>13286</v>
      </c>
      <c r="F2459" s="1253"/>
      <c r="G2459" s="1251"/>
    </row>
    <row r="2460" spans="3:7">
      <c r="C2460" s="981">
        <v>42918</v>
      </c>
      <c r="D2460" s="980">
        <v>119.77</v>
      </c>
      <c r="E2460" s="895">
        <v>13286</v>
      </c>
      <c r="F2460" s="1253"/>
      <c r="G2460" s="1251"/>
    </row>
    <row r="2461" spans="3:7">
      <c r="C2461" s="981">
        <v>42919</v>
      </c>
      <c r="D2461" s="980">
        <v>119.77</v>
      </c>
      <c r="E2461" s="895">
        <v>13286</v>
      </c>
      <c r="F2461" s="1253"/>
      <c r="G2461" s="1251"/>
    </row>
    <row r="2462" spans="3:7">
      <c r="C2462" s="981">
        <v>42920</v>
      </c>
      <c r="D2462" s="980">
        <v>119.77</v>
      </c>
      <c r="E2462" s="895">
        <v>13286</v>
      </c>
      <c r="F2462" s="1253"/>
      <c r="G2462" s="1251"/>
    </row>
    <row r="2463" spans="3:7">
      <c r="C2463" s="981">
        <v>42921</v>
      </c>
      <c r="D2463" s="980">
        <v>118.7</v>
      </c>
      <c r="E2463" s="895" t="s">
        <v>1305</v>
      </c>
      <c r="F2463" s="1253"/>
      <c r="G2463" s="1251"/>
    </row>
    <row r="2464" spans="3:7">
      <c r="C2464" s="981">
        <v>42922</v>
      </c>
      <c r="D2464" s="980">
        <v>118.7</v>
      </c>
      <c r="E2464" s="895" t="s">
        <v>1305</v>
      </c>
      <c r="F2464" s="1253"/>
      <c r="G2464" s="1251"/>
    </row>
    <row r="2465" spans="3:7">
      <c r="C2465" s="981">
        <v>42923</v>
      </c>
      <c r="D2465" s="980">
        <v>118.7</v>
      </c>
      <c r="E2465" s="895" t="s">
        <v>1305</v>
      </c>
      <c r="F2465" s="1253"/>
      <c r="G2465" s="1251"/>
    </row>
    <row r="2466" spans="3:7">
      <c r="C2466" s="981">
        <v>42924</v>
      </c>
      <c r="D2466" s="980">
        <v>118.7</v>
      </c>
      <c r="E2466" s="895" t="s">
        <v>1305</v>
      </c>
      <c r="F2466" s="1253"/>
      <c r="G2466" s="1251"/>
    </row>
    <row r="2467" spans="3:7">
      <c r="C2467" s="981">
        <v>42925</v>
      </c>
      <c r="D2467" s="980">
        <v>118.7</v>
      </c>
      <c r="E2467" s="895" t="s">
        <v>1305</v>
      </c>
      <c r="F2467" s="1253"/>
      <c r="G2467" s="1251"/>
    </row>
    <row r="2468" spans="3:7">
      <c r="C2468" s="981">
        <v>42926</v>
      </c>
      <c r="D2468" s="980">
        <v>118.7</v>
      </c>
      <c r="E2468" s="895" t="s">
        <v>1305</v>
      </c>
      <c r="F2468" s="1253"/>
      <c r="G2468" s="1251"/>
    </row>
    <row r="2469" spans="3:7">
      <c r="C2469" s="981">
        <v>42927</v>
      </c>
      <c r="D2469" s="980">
        <v>118.7</v>
      </c>
      <c r="E2469" s="895" t="s">
        <v>1305</v>
      </c>
      <c r="F2469" s="1253"/>
      <c r="G2469" s="1251"/>
    </row>
    <row r="2470" spans="3:7">
      <c r="C2470" s="981">
        <v>42928</v>
      </c>
      <c r="D2470" s="980">
        <v>117.88</v>
      </c>
      <c r="E2470" s="895">
        <v>13387</v>
      </c>
      <c r="F2470" s="1253"/>
      <c r="G2470" s="1251"/>
    </row>
    <row r="2471" spans="3:7">
      <c r="C2471" s="981">
        <v>42929</v>
      </c>
      <c r="D2471" s="980">
        <v>117.88</v>
      </c>
      <c r="E2471" s="895">
        <v>13387</v>
      </c>
      <c r="F2471" s="1253"/>
      <c r="G2471" s="1251"/>
    </row>
    <row r="2472" spans="3:7">
      <c r="C2472" s="981">
        <v>42930</v>
      </c>
      <c r="D2472" s="980">
        <v>117.88</v>
      </c>
      <c r="E2472" s="895">
        <v>13387</v>
      </c>
      <c r="F2472" s="1253"/>
      <c r="G2472" s="1251"/>
    </row>
    <row r="2473" spans="3:7">
      <c r="C2473" s="981">
        <v>42931</v>
      </c>
      <c r="D2473" s="980">
        <v>117.88</v>
      </c>
      <c r="E2473" s="895">
        <v>13387</v>
      </c>
      <c r="F2473" s="1253"/>
      <c r="G2473" s="1251"/>
    </row>
    <row r="2474" spans="3:7">
      <c r="C2474" s="981">
        <v>42932</v>
      </c>
      <c r="D2474" s="980">
        <v>117.88</v>
      </c>
      <c r="E2474" s="895">
        <v>13387</v>
      </c>
      <c r="F2474" s="1253"/>
      <c r="G2474" s="1251"/>
    </row>
    <row r="2475" spans="3:7">
      <c r="C2475" s="981">
        <v>42933</v>
      </c>
      <c r="D2475" s="980">
        <v>117.88</v>
      </c>
      <c r="E2475" s="895">
        <v>13387</v>
      </c>
      <c r="F2475" s="1253"/>
      <c r="G2475" s="1251"/>
    </row>
    <row r="2476" spans="3:7">
      <c r="C2476" s="981">
        <v>42934</v>
      </c>
      <c r="D2476" s="980">
        <v>117.88</v>
      </c>
      <c r="E2476" s="895">
        <v>13387</v>
      </c>
      <c r="F2476" s="1253"/>
      <c r="G2476" s="1251"/>
    </row>
    <row r="2477" spans="3:7">
      <c r="C2477" s="981">
        <v>42935</v>
      </c>
      <c r="D2477" s="980">
        <v>118.05</v>
      </c>
      <c r="E2477" s="895">
        <v>13354</v>
      </c>
      <c r="F2477" s="1253"/>
      <c r="G2477" s="1251"/>
    </row>
    <row r="2478" spans="3:7">
      <c r="C2478" s="981">
        <v>42936</v>
      </c>
      <c r="D2478" s="980">
        <v>118.05</v>
      </c>
      <c r="E2478" s="895">
        <v>13354</v>
      </c>
      <c r="F2478" s="1253"/>
      <c r="G2478" s="1251"/>
    </row>
    <row r="2479" spans="3:7">
      <c r="C2479" s="981">
        <v>42937</v>
      </c>
      <c r="D2479" s="980">
        <v>118.05</v>
      </c>
      <c r="E2479" s="895">
        <v>13354</v>
      </c>
      <c r="F2479" s="1253"/>
      <c r="G2479" s="1251"/>
    </row>
    <row r="2480" spans="3:7">
      <c r="C2480" s="981">
        <v>42938</v>
      </c>
      <c r="D2480" s="980">
        <v>118.05</v>
      </c>
      <c r="E2480" s="895">
        <v>13354</v>
      </c>
      <c r="F2480" s="1253"/>
      <c r="G2480" s="1251"/>
    </row>
    <row r="2481" spans="3:7">
      <c r="C2481" s="981">
        <v>42939</v>
      </c>
      <c r="D2481" s="980">
        <v>118.05</v>
      </c>
      <c r="E2481" s="895">
        <v>13354</v>
      </c>
      <c r="F2481" s="1253"/>
      <c r="G2481" s="1251"/>
    </row>
    <row r="2482" spans="3:7">
      <c r="C2482" s="981">
        <v>42940</v>
      </c>
      <c r="D2482" s="980">
        <v>118.05</v>
      </c>
      <c r="E2482" s="895">
        <v>13354</v>
      </c>
      <c r="F2482" s="1253"/>
      <c r="G2482" s="1251"/>
    </row>
    <row r="2483" spans="3:7">
      <c r="C2483" s="981">
        <v>42941</v>
      </c>
      <c r="D2483" s="980">
        <v>118.05</v>
      </c>
      <c r="E2483" s="895">
        <v>13354</v>
      </c>
      <c r="F2483" s="1253"/>
      <c r="G2483" s="1251"/>
    </row>
    <row r="2484" spans="3:7">
      <c r="C2484" s="981">
        <v>42942</v>
      </c>
      <c r="D2484" s="980">
        <v>119.33</v>
      </c>
      <c r="E2484" s="895">
        <v>13319</v>
      </c>
      <c r="F2484" s="1253"/>
      <c r="G2484" s="1251"/>
    </row>
    <row r="2485" spans="3:7">
      <c r="C2485" s="981">
        <v>42943</v>
      </c>
      <c r="D2485" s="980">
        <v>119.33</v>
      </c>
      <c r="E2485" s="895">
        <v>13319</v>
      </c>
      <c r="F2485" s="1253"/>
      <c r="G2485" s="1251"/>
    </row>
    <row r="2486" spans="3:7">
      <c r="C2486" s="981">
        <v>42944</v>
      </c>
      <c r="D2486" s="980">
        <v>119.33</v>
      </c>
      <c r="E2486" s="895">
        <v>13319</v>
      </c>
      <c r="F2486" s="1253"/>
      <c r="G2486" s="1251"/>
    </row>
    <row r="2487" spans="3:7">
      <c r="C2487" s="981">
        <v>42945</v>
      </c>
      <c r="D2487" s="980">
        <v>119.33</v>
      </c>
      <c r="E2487" s="895">
        <v>13319</v>
      </c>
      <c r="F2487" s="1253"/>
      <c r="G2487" s="1251"/>
    </row>
    <row r="2488" spans="3:7">
      <c r="C2488" s="981">
        <v>42946</v>
      </c>
      <c r="D2488" s="980">
        <v>119.33</v>
      </c>
      <c r="E2488" s="895">
        <v>13319</v>
      </c>
      <c r="F2488" s="1253"/>
      <c r="G2488" s="1251"/>
    </row>
    <row r="2489" spans="3:7">
      <c r="C2489" s="981">
        <v>42947</v>
      </c>
      <c r="D2489" s="980">
        <v>119.33</v>
      </c>
      <c r="E2489" s="895">
        <v>13319</v>
      </c>
      <c r="F2489" s="1253"/>
      <c r="G2489" s="1251"/>
    </row>
    <row r="2490" spans="3:7">
      <c r="C2490" s="981">
        <v>42948</v>
      </c>
      <c r="D2490" s="980">
        <v>119.33</v>
      </c>
      <c r="E2490" s="895">
        <v>13319</v>
      </c>
      <c r="F2490" s="1253"/>
      <c r="G2490" s="1251"/>
    </row>
    <row r="2491" spans="3:7">
      <c r="C2491" s="981">
        <v>42949</v>
      </c>
      <c r="D2491" s="980">
        <v>119.96</v>
      </c>
      <c r="E2491" s="895">
        <v>13327</v>
      </c>
      <c r="F2491" s="1253"/>
      <c r="G2491" s="1251"/>
    </row>
    <row r="2492" spans="3:7">
      <c r="C2492" s="981">
        <v>42950</v>
      </c>
      <c r="D2492" s="980">
        <v>119.96</v>
      </c>
      <c r="E2492" s="895">
        <v>13327</v>
      </c>
      <c r="F2492" s="1253"/>
      <c r="G2492" s="1251"/>
    </row>
    <row r="2493" spans="3:7">
      <c r="C2493" s="981">
        <v>42951</v>
      </c>
      <c r="D2493" s="980">
        <v>119.96</v>
      </c>
      <c r="E2493" s="895">
        <v>13327</v>
      </c>
      <c r="F2493" s="1253"/>
      <c r="G2493" s="1251"/>
    </row>
    <row r="2494" spans="3:7">
      <c r="C2494" s="981">
        <v>42952</v>
      </c>
      <c r="D2494" s="980">
        <v>119.96</v>
      </c>
      <c r="E2494" s="895">
        <v>13327</v>
      </c>
      <c r="F2494" s="1253"/>
      <c r="G2494" s="1251"/>
    </row>
    <row r="2495" spans="3:7">
      <c r="C2495" s="981">
        <v>42953</v>
      </c>
      <c r="D2495" s="980">
        <v>119.96</v>
      </c>
      <c r="E2495" s="895">
        <v>13327</v>
      </c>
      <c r="F2495" s="1253"/>
      <c r="G2495" s="1251"/>
    </row>
    <row r="2496" spans="3:7">
      <c r="C2496" s="981">
        <v>42954</v>
      </c>
      <c r="D2496" s="980">
        <v>119.96</v>
      </c>
      <c r="E2496" s="895">
        <v>13327</v>
      </c>
      <c r="F2496" s="1253"/>
      <c r="G2496" s="1251"/>
    </row>
    <row r="2497" spans="3:7">
      <c r="C2497" s="981">
        <v>42955</v>
      </c>
      <c r="D2497" s="980">
        <v>119.96</v>
      </c>
      <c r="E2497" s="895">
        <v>13327</v>
      </c>
      <c r="F2497" s="1253"/>
      <c r="G2497" s="1251"/>
    </row>
    <row r="2498" spans="3:7">
      <c r="C2498" s="981">
        <v>42956</v>
      </c>
      <c r="D2498" s="980">
        <v>120.55</v>
      </c>
      <c r="E2498" s="895">
        <v>13323</v>
      </c>
      <c r="F2498" s="1253"/>
      <c r="G2498" s="1251"/>
    </row>
    <row r="2499" spans="3:7">
      <c r="C2499" s="981">
        <v>42957</v>
      </c>
      <c r="D2499" s="980">
        <v>120.55</v>
      </c>
      <c r="E2499" s="895">
        <v>13323</v>
      </c>
      <c r="F2499" s="1253"/>
      <c r="G2499" s="1251"/>
    </row>
    <row r="2500" spans="3:7">
      <c r="C2500" s="981">
        <v>42958</v>
      </c>
      <c r="D2500" s="980">
        <v>120.55</v>
      </c>
      <c r="E2500" s="895">
        <v>13323</v>
      </c>
      <c r="F2500" s="1253"/>
      <c r="G2500" s="1251"/>
    </row>
    <row r="2501" spans="3:7">
      <c r="C2501" s="981">
        <v>42959</v>
      </c>
      <c r="D2501" s="980">
        <v>120.55</v>
      </c>
      <c r="E2501" s="895">
        <v>13323</v>
      </c>
      <c r="F2501" s="1253"/>
      <c r="G2501" s="1251"/>
    </row>
    <row r="2502" spans="3:7">
      <c r="C2502" s="981">
        <v>42960</v>
      </c>
      <c r="D2502" s="980">
        <v>120.55</v>
      </c>
      <c r="E2502" s="895">
        <v>13323</v>
      </c>
      <c r="F2502" s="1253"/>
      <c r="G2502" s="1251"/>
    </row>
    <row r="2503" spans="3:7">
      <c r="C2503" s="981">
        <v>42961</v>
      </c>
      <c r="D2503" s="980">
        <v>120.55</v>
      </c>
      <c r="E2503" s="895">
        <v>13323</v>
      </c>
      <c r="F2503" s="1253"/>
      <c r="G2503" s="1251"/>
    </row>
    <row r="2504" spans="3:7">
      <c r="C2504" s="981">
        <v>42962</v>
      </c>
      <c r="D2504" s="980">
        <v>120.55</v>
      </c>
      <c r="E2504" s="895">
        <v>13323</v>
      </c>
      <c r="F2504" s="1253"/>
      <c r="G2504" s="1251"/>
    </row>
    <row r="2505" spans="3:7">
      <c r="C2505" s="981">
        <v>42963</v>
      </c>
      <c r="D2505" s="980">
        <v>121.6</v>
      </c>
      <c r="E2505" s="895">
        <v>13337</v>
      </c>
      <c r="F2505" s="1253"/>
      <c r="G2505" s="1251"/>
    </row>
    <row r="2506" spans="3:7">
      <c r="C2506" s="981">
        <v>42964</v>
      </c>
      <c r="D2506" s="980">
        <v>121.6</v>
      </c>
      <c r="E2506" s="895">
        <v>13337</v>
      </c>
      <c r="F2506" s="1253"/>
      <c r="G2506" s="1251"/>
    </row>
    <row r="2507" spans="3:7">
      <c r="C2507" s="981">
        <v>42965</v>
      </c>
      <c r="D2507" s="980">
        <v>121.6</v>
      </c>
      <c r="E2507" s="895">
        <v>13337</v>
      </c>
      <c r="F2507" s="1253"/>
      <c r="G2507" s="1251"/>
    </row>
    <row r="2508" spans="3:7">
      <c r="C2508" s="981">
        <v>42966</v>
      </c>
      <c r="D2508" s="980">
        <v>121.6</v>
      </c>
      <c r="E2508" s="895">
        <v>13337</v>
      </c>
      <c r="F2508" s="1253"/>
      <c r="G2508" s="1251"/>
    </row>
    <row r="2509" spans="3:7">
      <c r="C2509" s="981">
        <v>42967</v>
      </c>
      <c r="D2509" s="980">
        <v>121.6</v>
      </c>
      <c r="E2509" s="895">
        <v>13337</v>
      </c>
      <c r="F2509" s="1253"/>
      <c r="G2509" s="1251"/>
    </row>
    <row r="2510" spans="3:7">
      <c r="C2510" s="981">
        <v>42968</v>
      </c>
      <c r="D2510" s="980">
        <v>121.6</v>
      </c>
      <c r="E2510" s="895">
        <v>13337</v>
      </c>
      <c r="F2510" s="1253"/>
      <c r="G2510" s="1251"/>
    </row>
    <row r="2511" spans="3:7">
      <c r="C2511" s="981">
        <v>42969</v>
      </c>
      <c r="D2511" s="980">
        <v>121.6</v>
      </c>
      <c r="E2511" s="895">
        <v>13337</v>
      </c>
      <c r="F2511" s="1253"/>
      <c r="G2511" s="1251"/>
    </row>
    <row r="2512" spans="3:7">
      <c r="C2512" s="981">
        <v>42970</v>
      </c>
      <c r="D2512" s="980">
        <v>122.13</v>
      </c>
      <c r="E2512" s="895">
        <v>13362</v>
      </c>
      <c r="F2512" s="1253"/>
      <c r="G2512" s="1251"/>
    </row>
    <row r="2513" spans="3:7">
      <c r="C2513" s="981">
        <v>42971</v>
      </c>
      <c r="D2513" s="980">
        <v>122.13</v>
      </c>
      <c r="E2513" s="895">
        <v>13362</v>
      </c>
      <c r="F2513" s="1253"/>
      <c r="G2513" s="1251"/>
    </row>
    <row r="2514" spans="3:7">
      <c r="C2514" s="981">
        <v>42972</v>
      </c>
      <c r="D2514" s="980">
        <v>122.13</v>
      </c>
      <c r="E2514" s="895">
        <v>13362</v>
      </c>
      <c r="F2514" s="1253"/>
      <c r="G2514" s="1251"/>
    </row>
    <row r="2515" spans="3:7">
      <c r="C2515" s="981">
        <v>42973</v>
      </c>
      <c r="D2515" s="980">
        <v>122.13</v>
      </c>
      <c r="E2515" s="895">
        <v>13362</v>
      </c>
      <c r="F2515" s="1253"/>
      <c r="G2515" s="1251"/>
    </row>
    <row r="2516" spans="3:7">
      <c r="C2516" s="981">
        <v>42974</v>
      </c>
      <c r="D2516" s="980">
        <v>122.13</v>
      </c>
      <c r="E2516" s="895">
        <v>13362</v>
      </c>
      <c r="F2516" s="1253"/>
      <c r="G2516" s="1251"/>
    </row>
    <row r="2517" spans="3:7">
      <c r="C2517" s="981">
        <v>42975</v>
      </c>
      <c r="D2517" s="980">
        <v>122.13</v>
      </c>
      <c r="E2517" s="895">
        <v>13362</v>
      </c>
      <c r="F2517" s="1253"/>
      <c r="G2517" s="1251"/>
    </row>
    <row r="2518" spans="3:7">
      <c r="C2518" s="981">
        <v>42976</v>
      </c>
      <c r="D2518" s="980">
        <v>122.13</v>
      </c>
      <c r="E2518" s="895">
        <v>13362</v>
      </c>
      <c r="F2518" s="1253"/>
      <c r="G2518" s="1251"/>
    </row>
    <row r="2519" spans="3:7">
      <c r="C2519" s="981">
        <v>42977</v>
      </c>
      <c r="D2519" s="980">
        <v>122.06</v>
      </c>
      <c r="E2519" s="895">
        <v>13346</v>
      </c>
      <c r="F2519" s="1253"/>
      <c r="G2519" s="1251"/>
    </row>
    <row r="2520" spans="3:7">
      <c r="C2520" s="981">
        <v>42978</v>
      </c>
      <c r="D2520" s="980">
        <v>122.06</v>
      </c>
      <c r="E2520" s="895">
        <v>13346</v>
      </c>
      <c r="F2520" s="1253"/>
      <c r="G2520" s="1251"/>
    </row>
    <row r="2521" spans="3:7">
      <c r="C2521" s="981">
        <v>42979</v>
      </c>
      <c r="D2521" s="980">
        <v>122.06</v>
      </c>
      <c r="E2521" s="895">
        <v>13346</v>
      </c>
      <c r="F2521" s="1253"/>
      <c r="G2521" s="1251"/>
    </row>
    <row r="2522" spans="3:7">
      <c r="C2522" s="981">
        <v>42980</v>
      </c>
      <c r="D2522" s="980">
        <v>122.06</v>
      </c>
      <c r="E2522" s="895">
        <v>13346</v>
      </c>
      <c r="F2522" s="1253"/>
      <c r="G2522" s="1251"/>
    </row>
    <row r="2523" spans="3:7">
      <c r="C2523" s="981">
        <v>42981</v>
      </c>
      <c r="D2523" s="980">
        <v>122.06</v>
      </c>
      <c r="E2523" s="895">
        <v>13346</v>
      </c>
      <c r="F2523" s="1253"/>
      <c r="G2523" s="1251"/>
    </row>
    <row r="2524" spans="3:7">
      <c r="C2524" s="981">
        <v>42982</v>
      </c>
      <c r="D2524" s="980">
        <v>122.06</v>
      </c>
      <c r="E2524" s="895">
        <v>13346</v>
      </c>
      <c r="F2524" s="1253"/>
      <c r="G2524" s="1251"/>
    </row>
    <row r="2525" spans="3:7">
      <c r="C2525" s="981">
        <v>42983</v>
      </c>
      <c r="D2525" s="980">
        <v>122.06</v>
      </c>
      <c r="E2525" s="895">
        <v>13346</v>
      </c>
      <c r="F2525" s="1253"/>
      <c r="G2525" s="1251"/>
    </row>
    <row r="2526" spans="3:7">
      <c r="C2526" s="981">
        <v>42984</v>
      </c>
      <c r="D2526" s="980">
        <v>121.25</v>
      </c>
      <c r="E2526" s="895">
        <v>13337</v>
      </c>
      <c r="F2526" s="1253"/>
      <c r="G2526" s="1251"/>
    </row>
    <row r="2527" spans="3:7">
      <c r="C2527" s="981">
        <v>42985</v>
      </c>
      <c r="D2527" s="980">
        <v>121.25</v>
      </c>
      <c r="E2527" s="895">
        <v>13337</v>
      </c>
      <c r="F2527" s="1253"/>
      <c r="G2527" s="1251"/>
    </row>
    <row r="2528" spans="3:7">
      <c r="C2528" s="981">
        <v>42986</v>
      </c>
      <c r="D2528" s="980">
        <v>121.25</v>
      </c>
      <c r="E2528" s="895">
        <v>13337</v>
      </c>
      <c r="F2528" s="1253"/>
      <c r="G2528" s="1251"/>
    </row>
    <row r="2529" spans="3:7">
      <c r="C2529" s="981">
        <v>42987</v>
      </c>
      <c r="D2529" s="980">
        <v>121.25</v>
      </c>
      <c r="E2529" s="895">
        <v>13337</v>
      </c>
      <c r="F2529" s="1253"/>
      <c r="G2529" s="1251"/>
    </row>
    <row r="2530" spans="3:7">
      <c r="C2530" s="981">
        <v>42988</v>
      </c>
      <c r="D2530" s="980">
        <v>121.25</v>
      </c>
      <c r="E2530" s="895">
        <v>13337</v>
      </c>
      <c r="F2530" s="1253"/>
      <c r="G2530" s="1251"/>
    </row>
    <row r="2531" spans="3:7">
      <c r="C2531" s="981">
        <v>42989</v>
      </c>
      <c r="D2531" s="980">
        <v>121.25</v>
      </c>
      <c r="E2531" s="895">
        <v>13337</v>
      </c>
      <c r="F2531" s="1253"/>
      <c r="G2531" s="1251"/>
    </row>
    <row r="2532" spans="3:7">
      <c r="C2532" s="981">
        <v>42990</v>
      </c>
      <c r="D2532" s="980">
        <v>121.25</v>
      </c>
      <c r="E2532" s="895">
        <v>13337</v>
      </c>
      <c r="F2532" s="1253"/>
      <c r="G2532" s="1251"/>
    </row>
    <row r="2533" spans="3:7">
      <c r="C2533" s="981">
        <v>42991</v>
      </c>
      <c r="D2533" s="980">
        <v>122.17</v>
      </c>
      <c r="E2533" s="895">
        <v>13262</v>
      </c>
      <c r="F2533" s="1253"/>
      <c r="G2533" s="1251"/>
    </row>
    <row r="2534" spans="3:7">
      <c r="C2534" s="981">
        <v>42992</v>
      </c>
      <c r="D2534" s="980">
        <v>122.17</v>
      </c>
      <c r="E2534" s="895">
        <v>13262</v>
      </c>
      <c r="F2534" s="1253"/>
      <c r="G2534" s="1251"/>
    </row>
    <row r="2535" spans="3:7">
      <c r="C2535" s="981">
        <v>42993</v>
      </c>
      <c r="D2535" s="980">
        <v>122.17</v>
      </c>
      <c r="E2535" s="895">
        <v>13262</v>
      </c>
      <c r="F2535" s="1253"/>
      <c r="G2535" s="1251"/>
    </row>
    <row r="2536" spans="3:7">
      <c r="C2536" s="981">
        <v>42994</v>
      </c>
      <c r="D2536" s="980">
        <v>122.17</v>
      </c>
      <c r="E2536" s="895">
        <v>13262</v>
      </c>
      <c r="F2536" s="1253"/>
      <c r="G2536" s="1251"/>
    </row>
    <row r="2537" spans="3:7">
      <c r="C2537" s="981">
        <v>42995</v>
      </c>
      <c r="D2537" s="980">
        <v>122.17</v>
      </c>
      <c r="E2537" s="895">
        <v>13262</v>
      </c>
      <c r="F2537" s="1253"/>
      <c r="G2537" s="1251"/>
    </row>
    <row r="2538" spans="3:7">
      <c r="C2538" s="981">
        <v>42996</v>
      </c>
      <c r="D2538" s="980">
        <v>122.17</v>
      </c>
      <c r="E2538" s="895">
        <v>13262</v>
      </c>
      <c r="F2538" s="1253"/>
      <c r="G2538" s="1251"/>
    </row>
    <row r="2539" spans="3:7">
      <c r="C2539" s="981">
        <v>42997</v>
      </c>
      <c r="D2539" s="980">
        <v>122.17</v>
      </c>
      <c r="E2539" s="895">
        <v>13262</v>
      </c>
      <c r="F2539" s="1253"/>
      <c r="G2539" s="1251"/>
    </row>
    <row r="2540" spans="3:7">
      <c r="C2540" s="981">
        <v>42998</v>
      </c>
      <c r="D2540" s="980">
        <v>119.6</v>
      </c>
      <c r="E2540" s="895">
        <v>13226</v>
      </c>
      <c r="F2540" s="1253"/>
      <c r="G2540" s="1251"/>
    </row>
    <row r="2541" spans="3:7">
      <c r="C2541" s="981">
        <v>42999</v>
      </c>
      <c r="D2541" s="980">
        <v>119.6</v>
      </c>
      <c r="E2541" s="895">
        <v>13226</v>
      </c>
      <c r="F2541" s="1253"/>
      <c r="G2541" s="1251"/>
    </row>
    <row r="2542" spans="3:7">
      <c r="C2542" s="981">
        <v>43000</v>
      </c>
      <c r="D2542" s="980">
        <v>119.6</v>
      </c>
      <c r="E2542" s="895">
        <v>13226</v>
      </c>
      <c r="F2542" s="1253"/>
      <c r="G2542" s="1251"/>
    </row>
    <row r="2543" spans="3:7">
      <c r="C2543" s="981">
        <v>43001</v>
      </c>
      <c r="D2543" s="980">
        <v>119.6</v>
      </c>
      <c r="E2543" s="895">
        <v>13226</v>
      </c>
      <c r="F2543" s="1253"/>
      <c r="G2543" s="1251"/>
    </row>
    <row r="2544" spans="3:7">
      <c r="C2544" s="981">
        <v>43002</v>
      </c>
      <c r="D2544" s="980">
        <v>119.6</v>
      </c>
      <c r="E2544" s="895">
        <v>13226</v>
      </c>
      <c r="F2544" s="1253"/>
      <c r="G2544" s="1251"/>
    </row>
    <row r="2545" spans="3:7">
      <c r="C2545" s="981">
        <v>43003</v>
      </c>
      <c r="D2545" s="980">
        <v>119.6</v>
      </c>
      <c r="E2545" s="895">
        <v>13226</v>
      </c>
      <c r="F2545" s="1253"/>
      <c r="G2545" s="1251"/>
    </row>
    <row r="2546" spans="3:7">
      <c r="C2546" s="981">
        <v>43004</v>
      </c>
      <c r="D2546" s="980">
        <v>119.6</v>
      </c>
      <c r="E2546" s="895">
        <v>13226</v>
      </c>
      <c r="F2546" s="1253"/>
      <c r="G2546" s="1251"/>
    </row>
    <row r="2547" spans="3:7">
      <c r="C2547" s="981">
        <v>43005</v>
      </c>
      <c r="D2547" s="980">
        <v>118.65</v>
      </c>
      <c r="E2547" s="895">
        <v>13304</v>
      </c>
      <c r="F2547" s="1253"/>
      <c r="G2547" s="1251"/>
    </row>
    <row r="2548" spans="3:7">
      <c r="C2548" s="981">
        <v>43006</v>
      </c>
      <c r="D2548" s="980">
        <v>118.65</v>
      </c>
      <c r="E2548" s="895">
        <v>13304</v>
      </c>
      <c r="F2548" s="1253"/>
      <c r="G2548" s="1251"/>
    </row>
    <row r="2549" spans="3:7">
      <c r="C2549" s="981">
        <v>43007</v>
      </c>
      <c r="D2549" s="980">
        <v>118.65</v>
      </c>
      <c r="E2549" s="895">
        <v>13304</v>
      </c>
      <c r="F2549" s="1253"/>
      <c r="G2549" s="1251"/>
    </row>
    <row r="2550" spans="3:7">
      <c r="C2550" s="981">
        <v>43008</v>
      </c>
      <c r="D2550" s="980">
        <v>118.65</v>
      </c>
      <c r="E2550" s="895">
        <v>13304</v>
      </c>
      <c r="F2550" s="1253"/>
      <c r="G2550" s="1251"/>
    </row>
    <row r="2551" spans="3:7">
      <c r="C2551" s="981">
        <v>43009</v>
      </c>
      <c r="D2551" s="980">
        <v>118.65</v>
      </c>
      <c r="E2551" s="895">
        <v>13304</v>
      </c>
      <c r="F2551" s="1253"/>
      <c r="G2551" s="1251"/>
    </row>
    <row r="2552" spans="3:7">
      <c r="C2552" s="981">
        <v>43010</v>
      </c>
      <c r="D2552" s="980">
        <v>118.65</v>
      </c>
      <c r="E2552" s="895">
        <v>13304</v>
      </c>
      <c r="F2552" s="1253"/>
      <c r="G2552" s="1251"/>
    </row>
    <row r="2553" spans="3:7">
      <c r="C2553" s="981">
        <v>43011</v>
      </c>
      <c r="D2553" s="980">
        <v>118.65</v>
      </c>
      <c r="E2553" s="895">
        <v>13304</v>
      </c>
      <c r="F2553" s="1253"/>
      <c r="G2553" s="1251"/>
    </row>
    <row r="2554" spans="3:7">
      <c r="C2554" s="981">
        <v>43012</v>
      </c>
      <c r="D2554" s="980">
        <v>119.58</v>
      </c>
      <c r="E2554" s="895">
        <v>13459</v>
      </c>
      <c r="F2554" s="1253"/>
      <c r="G2554" s="1251"/>
    </row>
    <row r="2555" spans="3:7">
      <c r="C2555" s="981">
        <v>43013</v>
      </c>
      <c r="D2555" s="980">
        <v>119.58</v>
      </c>
      <c r="E2555" s="895">
        <v>13459</v>
      </c>
      <c r="F2555" s="1253"/>
      <c r="G2555" s="1251"/>
    </row>
    <row r="2556" spans="3:7">
      <c r="C2556" s="981">
        <v>43014</v>
      </c>
      <c r="D2556" s="980">
        <v>119.58</v>
      </c>
      <c r="E2556" s="895">
        <v>13459</v>
      </c>
      <c r="F2556" s="1253"/>
      <c r="G2556" s="1251"/>
    </row>
    <row r="2557" spans="3:7">
      <c r="C2557" s="981">
        <v>43015</v>
      </c>
      <c r="D2557" s="980">
        <v>119.58</v>
      </c>
      <c r="E2557" s="895">
        <v>13459</v>
      </c>
      <c r="F2557" s="1253"/>
      <c r="G2557" s="1251"/>
    </row>
    <row r="2558" spans="3:7">
      <c r="C2558" s="981">
        <v>43016</v>
      </c>
      <c r="D2558" s="980">
        <v>119.58</v>
      </c>
      <c r="E2558" s="895">
        <v>13459</v>
      </c>
      <c r="F2558" s="1253"/>
      <c r="G2558" s="1251"/>
    </row>
    <row r="2559" spans="3:7">
      <c r="C2559" s="981">
        <v>43017</v>
      </c>
      <c r="D2559" s="980">
        <v>119.58</v>
      </c>
      <c r="E2559" s="895">
        <v>13459</v>
      </c>
      <c r="F2559" s="1253"/>
      <c r="G2559" s="1251"/>
    </row>
    <row r="2560" spans="3:7">
      <c r="C2560" s="981">
        <v>43018</v>
      </c>
      <c r="D2560" s="980">
        <v>119.58</v>
      </c>
      <c r="E2560" s="895">
        <v>13459</v>
      </c>
      <c r="F2560" s="1253"/>
      <c r="G2560" s="1251"/>
    </row>
    <row r="2561" spans="3:7">
      <c r="C2561" s="981">
        <v>43019</v>
      </c>
      <c r="D2561" s="980">
        <v>119.75</v>
      </c>
      <c r="E2561" s="895">
        <v>13501</v>
      </c>
      <c r="F2561" s="1253"/>
      <c r="G2561" s="1251"/>
    </row>
    <row r="2562" spans="3:7">
      <c r="C2562" s="981">
        <v>43020</v>
      </c>
      <c r="D2562" s="980">
        <v>119.75</v>
      </c>
      <c r="E2562" s="895">
        <v>13501</v>
      </c>
      <c r="F2562" s="1253"/>
      <c r="G2562" s="1251"/>
    </row>
    <row r="2563" spans="3:7">
      <c r="C2563" s="981">
        <v>43021</v>
      </c>
      <c r="D2563" s="980">
        <v>119.75</v>
      </c>
      <c r="E2563" s="895">
        <v>13501</v>
      </c>
      <c r="F2563" s="1253"/>
      <c r="G2563" s="1251"/>
    </row>
    <row r="2564" spans="3:7">
      <c r="C2564" s="981">
        <v>43022</v>
      </c>
      <c r="D2564" s="980">
        <v>119.75</v>
      </c>
      <c r="E2564" s="895">
        <v>13501</v>
      </c>
      <c r="F2564" s="1253"/>
      <c r="G2564" s="1251"/>
    </row>
    <row r="2565" spans="3:7">
      <c r="C2565" s="981">
        <v>43023</v>
      </c>
      <c r="D2565" s="980">
        <v>119.75</v>
      </c>
      <c r="E2565" s="895">
        <v>13501</v>
      </c>
      <c r="F2565" s="1253"/>
      <c r="G2565" s="1251"/>
    </row>
    <row r="2566" spans="3:7">
      <c r="C2566" s="981">
        <v>43024</v>
      </c>
      <c r="D2566" s="980">
        <v>119.75</v>
      </c>
      <c r="E2566" s="895">
        <v>13501</v>
      </c>
      <c r="F2566" s="1253"/>
      <c r="G2566" s="1251"/>
    </row>
    <row r="2567" spans="3:7">
      <c r="C2567" s="981">
        <v>43025</v>
      </c>
      <c r="D2567" s="980">
        <v>119.75</v>
      </c>
      <c r="E2567" s="895">
        <v>13501</v>
      </c>
      <c r="F2567" s="1253"/>
      <c r="G2567" s="1251"/>
    </row>
    <row r="2568" spans="3:7">
      <c r="C2568" s="981">
        <v>43026</v>
      </c>
      <c r="D2568" s="980">
        <v>120.34</v>
      </c>
      <c r="E2568" s="895">
        <v>13505</v>
      </c>
      <c r="F2568" s="1253"/>
      <c r="G2568" s="1251"/>
    </row>
    <row r="2569" spans="3:7">
      <c r="C2569" s="981">
        <v>43027</v>
      </c>
      <c r="D2569" s="980">
        <v>120.34</v>
      </c>
      <c r="E2569" s="895">
        <v>13505</v>
      </c>
      <c r="F2569" s="1253"/>
      <c r="G2569" s="1251"/>
    </row>
    <row r="2570" spans="3:7">
      <c r="C2570" s="981">
        <v>43028</v>
      </c>
      <c r="D2570" s="980">
        <v>120.34</v>
      </c>
      <c r="E2570" s="895">
        <v>13505</v>
      </c>
      <c r="F2570" s="1253"/>
      <c r="G2570" s="1251"/>
    </row>
    <row r="2571" spans="3:7">
      <c r="C2571" s="981">
        <v>43029</v>
      </c>
      <c r="D2571" s="980">
        <v>120.34</v>
      </c>
      <c r="E2571" s="895">
        <v>13505</v>
      </c>
      <c r="F2571" s="1253"/>
      <c r="G2571" s="1251"/>
    </row>
    <row r="2572" spans="3:7">
      <c r="C2572" s="981">
        <v>43030</v>
      </c>
      <c r="D2572" s="980">
        <v>120.34</v>
      </c>
      <c r="E2572" s="895">
        <v>13505</v>
      </c>
      <c r="F2572" s="1253"/>
      <c r="G2572" s="1251"/>
    </row>
    <row r="2573" spans="3:7">
      <c r="C2573" s="981">
        <v>43031</v>
      </c>
      <c r="D2573" s="980">
        <v>120.34</v>
      </c>
      <c r="E2573" s="895">
        <v>13505</v>
      </c>
      <c r="F2573" s="1253"/>
      <c r="G2573" s="1251"/>
    </row>
    <row r="2574" spans="3:7">
      <c r="C2574" s="981">
        <v>43032</v>
      </c>
      <c r="D2574" s="980">
        <v>120.34</v>
      </c>
      <c r="E2574" s="895">
        <v>13505</v>
      </c>
      <c r="F2574" s="1253"/>
      <c r="G2574" s="1251"/>
    </row>
    <row r="2575" spans="3:7">
      <c r="C2575" s="981">
        <v>43033</v>
      </c>
      <c r="D2575" s="980">
        <v>119.63</v>
      </c>
      <c r="E2575" s="895">
        <v>13518</v>
      </c>
      <c r="F2575" s="1253"/>
      <c r="G2575" s="1251"/>
    </row>
    <row r="2576" spans="3:7">
      <c r="C2576" s="981">
        <v>43034</v>
      </c>
      <c r="D2576" s="980">
        <v>119.63</v>
      </c>
      <c r="E2576" s="895">
        <v>13518</v>
      </c>
      <c r="F2576" s="1253"/>
      <c r="G2576" s="1251"/>
    </row>
    <row r="2577" spans="3:7">
      <c r="C2577" s="981">
        <v>43035</v>
      </c>
      <c r="D2577" s="980">
        <v>119.63</v>
      </c>
      <c r="E2577" s="895">
        <v>13518</v>
      </c>
      <c r="F2577" s="1253"/>
      <c r="G2577" s="1251"/>
    </row>
    <row r="2578" spans="3:7">
      <c r="C2578" s="981">
        <v>43036</v>
      </c>
      <c r="D2578" s="980">
        <v>119.63</v>
      </c>
      <c r="E2578" s="895">
        <v>13518</v>
      </c>
      <c r="F2578" s="1253"/>
      <c r="G2578" s="1251"/>
    </row>
    <row r="2579" spans="3:7">
      <c r="C2579" s="981">
        <v>43037</v>
      </c>
      <c r="D2579" s="980">
        <v>119.63</v>
      </c>
      <c r="E2579" s="895">
        <v>13518</v>
      </c>
      <c r="F2579" s="1253"/>
      <c r="G2579" s="1251"/>
    </row>
    <row r="2580" spans="3:7">
      <c r="C2580" s="981">
        <v>43038</v>
      </c>
      <c r="D2580" s="980">
        <v>119.63</v>
      </c>
      <c r="E2580" s="895">
        <v>13518</v>
      </c>
      <c r="F2580" s="1253"/>
      <c r="G2580" s="1251"/>
    </row>
    <row r="2581" spans="3:7">
      <c r="C2581" s="981">
        <v>43039</v>
      </c>
      <c r="D2581" s="980">
        <v>119.63</v>
      </c>
      <c r="E2581" s="895">
        <v>13518</v>
      </c>
      <c r="F2581" s="1253"/>
      <c r="G2581" s="1251"/>
    </row>
    <row r="2582" spans="3:7">
      <c r="C2582" s="981">
        <v>43040</v>
      </c>
      <c r="D2582" s="980">
        <v>119.32</v>
      </c>
      <c r="E2582" s="895">
        <v>13577</v>
      </c>
      <c r="F2582" s="1253"/>
      <c r="G2582" s="1251"/>
    </row>
    <row r="2583" spans="3:7">
      <c r="C2583" s="981">
        <v>43041</v>
      </c>
      <c r="D2583" s="980">
        <v>119.32</v>
      </c>
      <c r="E2583" s="895">
        <v>13577</v>
      </c>
      <c r="F2583" s="1253"/>
      <c r="G2583" s="1251"/>
    </row>
    <row r="2584" spans="3:7">
      <c r="C2584" s="981">
        <v>43042</v>
      </c>
      <c r="D2584" s="980">
        <v>119.32</v>
      </c>
      <c r="E2584" s="895">
        <v>13577</v>
      </c>
      <c r="F2584" s="1253"/>
      <c r="G2584" s="1251"/>
    </row>
    <row r="2585" spans="3:7">
      <c r="C2585" s="981">
        <v>43043</v>
      </c>
      <c r="D2585" s="980">
        <v>119.32</v>
      </c>
      <c r="E2585" s="895">
        <v>13577</v>
      </c>
      <c r="F2585" s="1253"/>
      <c r="G2585" s="1251"/>
    </row>
    <row r="2586" spans="3:7">
      <c r="C2586" s="981">
        <v>43044</v>
      </c>
      <c r="D2586" s="980">
        <v>119.32</v>
      </c>
      <c r="E2586" s="895">
        <v>13577</v>
      </c>
      <c r="F2586" s="1253"/>
      <c r="G2586" s="1251"/>
    </row>
    <row r="2587" spans="3:7">
      <c r="C2587" s="981">
        <v>43045</v>
      </c>
      <c r="D2587" s="980">
        <v>119.32</v>
      </c>
      <c r="E2587" s="895">
        <v>13577</v>
      </c>
      <c r="F2587" s="1253"/>
      <c r="G2587" s="1251"/>
    </row>
    <row r="2588" spans="3:7">
      <c r="C2588" s="981">
        <v>43046</v>
      </c>
      <c r="D2588" s="980">
        <v>119.32</v>
      </c>
      <c r="E2588" s="895">
        <v>13577</v>
      </c>
      <c r="F2588" s="1253"/>
      <c r="G2588" s="1251"/>
    </row>
    <row r="2589" spans="3:7">
      <c r="C2589" s="981">
        <v>43047</v>
      </c>
      <c r="D2589" s="980">
        <v>118.68</v>
      </c>
      <c r="E2589" s="895">
        <v>13544</v>
      </c>
      <c r="F2589" s="1253"/>
      <c r="G2589" s="1251"/>
    </row>
    <row r="2590" spans="3:7">
      <c r="C2590" s="981">
        <v>43048</v>
      </c>
      <c r="D2590" s="980">
        <v>118.68</v>
      </c>
      <c r="E2590" s="895">
        <v>13544</v>
      </c>
      <c r="F2590" s="1253"/>
      <c r="G2590" s="1251"/>
    </row>
    <row r="2591" spans="3:7">
      <c r="C2591" s="981">
        <v>43049</v>
      </c>
      <c r="D2591" s="980">
        <v>118.68</v>
      </c>
      <c r="E2591" s="895">
        <v>13544</v>
      </c>
      <c r="F2591" s="1253"/>
      <c r="G2591" s="1251"/>
    </row>
    <row r="2592" spans="3:7">
      <c r="C2592" s="981">
        <v>43050</v>
      </c>
      <c r="D2592" s="980">
        <v>118.68</v>
      </c>
      <c r="E2592" s="895">
        <v>13544</v>
      </c>
      <c r="F2592" s="1253"/>
      <c r="G2592" s="1251"/>
    </row>
    <row r="2593" spans="3:7">
      <c r="C2593" s="981">
        <v>43051</v>
      </c>
      <c r="D2593" s="980">
        <v>118.68</v>
      </c>
      <c r="E2593" s="895">
        <v>13544</v>
      </c>
      <c r="F2593" s="1253"/>
      <c r="G2593" s="1251"/>
    </row>
    <row r="2594" spans="3:7">
      <c r="C2594" s="981">
        <v>43052</v>
      </c>
      <c r="D2594" s="980">
        <v>118.68</v>
      </c>
      <c r="E2594" s="895">
        <v>13544</v>
      </c>
      <c r="F2594" s="1253"/>
      <c r="G2594" s="1251"/>
    </row>
    <row r="2595" spans="3:7">
      <c r="C2595" s="981">
        <v>43053</v>
      </c>
      <c r="D2595" s="980">
        <v>118.68</v>
      </c>
      <c r="E2595" s="895">
        <v>13544</v>
      </c>
      <c r="F2595" s="1253"/>
      <c r="G2595" s="1251"/>
    </row>
    <row r="2596" spans="3:7">
      <c r="C2596" s="981">
        <v>43054</v>
      </c>
      <c r="D2596" s="980">
        <v>119.05</v>
      </c>
      <c r="E2596" s="895">
        <v>13537</v>
      </c>
      <c r="F2596" s="1253"/>
      <c r="G2596" s="1251"/>
    </row>
    <row r="2597" spans="3:7">
      <c r="C2597" s="981">
        <v>43055</v>
      </c>
      <c r="D2597" s="980">
        <v>119.05</v>
      </c>
      <c r="E2597" s="895">
        <v>13537</v>
      </c>
      <c r="F2597" s="1253"/>
      <c r="G2597" s="1251"/>
    </row>
    <row r="2598" spans="3:7">
      <c r="C2598" s="981">
        <v>43056</v>
      </c>
      <c r="D2598" s="980">
        <v>119.05</v>
      </c>
      <c r="E2598" s="895">
        <v>13537</v>
      </c>
      <c r="F2598" s="1253"/>
      <c r="G2598" s="1251"/>
    </row>
    <row r="2599" spans="3:7">
      <c r="C2599" s="981">
        <v>43057</v>
      </c>
      <c r="D2599" s="980">
        <v>119.05</v>
      </c>
      <c r="E2599" s="895">
        <v>13537</v>
      </c>
      <c r="F2599" s="1253"/>
      <c r="G2599" s="1251"/>
    </row>
    <row r="2600" spans="3:7">
      <c r="C2600" s="981">
        <v>43058</v>
      </c>
      <c r="D2600" s="980">
        <v>119.05</v>
      </c>
      <c r="E2600" s="895">
        <v>13537</v>
      </c>
      <c r="F2600" s="1253"/>
      <c r="G2600" s="1251"/>
    </row>
    <row r="2601" spans="3:7">
      <c r="C2601" s="981">
        <v>43059</v>
      </c>
      <c r="D2601" s="980">
        <v>119.05</v>
      </c>
      <c r="E2601" s="895">
        <v>13537</v>
      </c>
      <c r="F2601" s="1253"/>
      <c r="G2601" s="1251"/>
    </row>
    <row r="2602" spans="3:7">
      <c r="C2602" s="981">
        <v>43060</v>
      </c>
      <c r="D2602" s="980">
        <v>119.05</v>
      </c>
      <c r="E2602" s="895">
        <v>13537</v>
      </c>
      <c r="F2602" s="1253"/>
      <c r="G2602" s="1251"/>
    </row>
    <row r="2603" spans="3:7">
      <c r="C2603" s="981">
        <v>43061</v>
      </c>
      <c r="D2603" s="980">
        <v>120.11</v>
      </c>
      <c r="E2603" s="895">
        <v>13538</v>
      </c>
      <c r="F2603" s="1253"/>
      <c r="G2603" s="1251"/>
    </row>
    <row r="2604" spans="3:7">
      <c r="C2604" s="981">
        <v>43062</v>
      </c>
      <c r="D2604" s="980">
        <v>120.11</v>
      </c>
      <c r="E2604" s="895">
        <v>13538</v>
      </c>
      <c r="F2604" s="1253"/>
      <c r="G2604" s="1251"/>
    </row>
    <row r="2605" spans="3:7">
      <c r="C2605" s="981">
        <v>43063</v>
      </c>
      <c r="D2605" s="980">
        <v>120.11</v>
      </c>
      <c r="E2605" s="895">
        <v>13538</v>
      </c>
      <c r="F2605" s="1253"/>
      <c r="G2605" s="1251"/>
    </row>
    <row r="2606" spans="3:7">
      <c r="C2606" s="981">
        <v>43064</v>
      </c>
      <c r="D2606" s="980">
        <v>120.11</v>
      </c>
      <c r="E2606" s="895">
        <v>13538</v>
      </c>
      <c r="F2606" s="1253"/>
      <c r="G2606" s="1251"/>
    </row>
    <row r="2607" spans="3:7">
      <c r="C2607" s="981">
        <v>43065</v>
      </c>
      <c r="D2607" s="980">
        <v>120.11</v>
      </c>
      <c r="E2607" s="895">
        <v>13538</v>
      </c>
      <c r="F2607" s="1253"/>
      <c r="G2607" s="1251"/>
    </row>
    <row r="2608" spans="3:7">
      <c r="C2608" s="981">
        <v>43066</v>
      </c>
      <c r="D2608" s="980">
        <v>120.11</v>
      </c>
      <c r="E2608" s="895">
        <v>13538</v>
      </c>
      <c r="F2608" s="1253"/>
      <c r="G2608" s="1251"/>
    </row>
    <row r="2609" spans="3:7">
      <c r="C2609" s="981">
        <v>43067</v>
      </c>
      <c r="D2609" s="980">
        <v>120.11</v>
      </c>
      <c r="E2609" s="895">
        <v>13538</v>
      </c>
      <c r="F2609" s="1253"/>
      <c r="G2609" s="1251"/>
    </row>
    <row r="2610" spans="3:7">
      <c r="C2610" s="981">
        <v>43068</v>
      </c>
      <c r="D2610" s="980">
        <v>121.12</v>
      </c>
      <c r="E2610" s="895">
        <v>13516</v>
      </c>
      <c r="F2610" s="1253"/>
      <c r="G2610" s="1251"/>
    </row>
    <row r="2611" spans="3:7">
      <c r="C2611" s="981">
        <v>43069</v>
      </c>
      <c r="D2611" s="980">
        <v>121.12</v>
      </c>
      <c r="E2611" s="895">
        <v>13516</v>
      </c>
      <c r="F2611" s="1253"/>
      <c r="G2611" s="1251"/>
    </row>
    <row r="2612" spans="3:7">
      <c r="C2612" s="981">
        <v>43070</v>
      </c>
      <c r="D2612" s="980">
        <v>121.12</v>
      </c>
      <c r="E2612" s="895">
        <v>13516</v>
      </c>
      <c r="F2612" s="1253"/>
      <c r="G2612" s="1251"/>
    </row>
    <row r="2613" spans="3:7">
      <c r="C2613" s="981">
        <v>43071</v>
      </c>
      <c r="D2613" s="980">
        <v>121.12</v>
      </c>
      <c r="E2613" s="895">
        <v>13516</v>
      </c>
      <c r="F2613" s="1253"/>
      <c r="G2613" s="1251"/>
    </row>
    <row r="2614" spans="3:7">
      <c r="C2614" s="981">
        <v>43072</v>
      </c>
      <c r="D2614" s="980">
        <v>121.12</v>
      </c>
      <c r="E2614" s="895">
        <v>13516</v>
      </c>
      <c r="F2614" s="1253"/>
      <c r="G2614" s="1251"/>
    </row>
    <row r="2615" spans="3:7">
      <c r="C2615" s="981">
        <v>43073</v>
      </c>
      <c r="D2615" s="980">
        <v>121.12</v>
      </c>
      <c r="E2615" s="895">
        <v>13516</v>
      </c>
      <c r="F2615" s="1253"/>
      <c r="G2615" s="1251"/>
    </row>
    <row r="2616" spans="3:7">
      <c r="C2616" s="981">
        <v>43074</v>
      </c>
      <c r="D2616" s="980">
        <v>121.12</v>
      </c>
      <c r="E2616" s="895">
        <v>13516</v>
      </c>
      <c r="F2616" s="1253"/>
      <c r="G2616" s="1251"/>
    </row>
    <row r="2617" spans="3:7">
      <c r="C2617" s="981">
        <v>43075</v>
      </c>
      <c r="D2617" s="980">
        <v>120.52</v>
      </c>
      <c r="E2617" s="895">
        <v>13518</v>
      </c>
      <c r="F2617" s="1253"/>
      <c r="G2617" s="1251"/>
    </row>
    <row r="2618" spans="3:7">
      <c r="C2618" s="981">
        <v>43076</v>
      </c>
      <c r="D2618" s="980">
        <v>120.52</v>
      </c>
      <c r="E2618" s="895">
        <v>13518</v>
      </c>
      <c r="F2618" s="1253"/>
      <c r="G2618" s="1251"/>
    </row>
    <row r="2619" spans="3:7">
      <c r="C2619" s="981">
        <v>43077</v>
      </c>
      <c r="D2619" s="980">
        <v>120.52</v>
      </c>
      <c r="E2619" s="895">
        <v>13518</v>
      </c>
      <c r="F2619" s="1253"/>
      <c r="G2619" s="1251"/>
    </row>
    <row r="2620" spans="3:7">
      <c r="C2620" s="981">
        <v>43078</v>
      </c>
      <c r="D2620" s="980">
        <v>120.52</v>
      </c>
      <c r="E2620" s="895">
        <v>13518</v>
      </c>
      <c r="F2620" s="1253"/>
      <c r="G2620" s="1251"/>
    </row>
    <row r="2621" spans="3:7">
      <c r="C2621" s="981">
        <v>43079</v>
      </c>
      <c r="D2621" s="980">
        <v>120.52</v>
      </c>
      <c r="E2621" s="895">
        <v>13518</v>
      </c>
      <c r="F2621" s="1253"/>
      <c r="G2621" s="1251"/>
    </row>
    <row r="2622" spans="3:7">
      <c r="C2622" s="981">
        <v>43080</v>
      </c>
      <c r="D2622" s="980">
        <v>120.52</v>
      </c>
      <c r="E2622" s="895">
        <v>13518</v>
      </c>
      <c r="F2622" s="1253"/>
      <c r="G2622" s="1251"/>
    </row>
    <row r="2623" spans="3:7">
      <c r="C2623" s="981">
        <v>43081</v>
      </c>
      <c r="D2623" s="980">
        <v>120.52</v>
      </c>
      <c r="E2623" s="895">
        <v>13518</v>
      </c>
      <c r="F2623" s="1253"/>
      <c r="G2623" s="1251"/>
    </row>
    <row r="2624" spans="3:7">
      <c r="C2624" s="981">
        <v>43082</v>
      </c>
      <c r="D2624" s="980">
        <v>119.81</v>
      </c>
      <c r="E2624" s="895">
        <v>13541</v>
      </c>
      <c r="F2624" s="1253"/>
      <c r="G2624" s="1251"/>
    </row>
    <row r="2625" spans="3:7">
      <c r="C2625" s="981">
        <v>43083</v>
      </c>
      <c r="D2625" s="980">
        <v>119.81</v>
      </c>
      <c r="E2625" s="895">
        <v>13541</v>
      </c>
      <c r="F2625" s="1253"/>
      <c r="G2625" s="1251"/>
    </row>
    <row r="2626" spans="3:7">
      <c r="C2626" s="981">
        <v>43084</v>
      </c>
      <c r="D2626" s="980">
        <v>119.81</v>
      </c>
      <c r="E2626" s="895">
        <v>13541</v>
      </c>
      <c r="F2626" s="1253"/>
      <c r="G2626" s="1251"/>
    </row>
    <row r="2627" spans="3:7">
      <c r="C2627" s="981">
        <v>43085</v>
      </c>
      <c r="D2627" s="980">
        <v>119.81</v>
      </c>
      <c r="E2627" s="895">
        <v>13541</v>
      </c>
      <c r="F2627" s="1253"/>
      <c r="G2627" s="1251"/>
    </row>
    <row r="2628" spans="3:7">
      <c r="C2628" s="981">
        <v>43086</v>
      </c>
      <c r="D2628" s="980">
        <v>119.81</v>
      </c>
      <c r="E2628" s="895">
        <v>13541</v>
      </c>
      <c r="F2628" s="1253"/>
      <c r="G2628" s="1251"/>
    </row>
    <row r="2629" spans="3:7">
      <c r="C2629" s="981">
        <v>43087</v>
      </c>
      <c r="D2629" s="980">
        <v>119.81</v>
      </c>
      <c r="E2629" s="895">
        <v>13541</v>
      </c>
      <c r="F2629" s="1253"/>
      <c r="G2629" s="1251"/>
    </row>
    <row r="2630" spans="3:7">
      <c r="C2630" s="981">
        <v>43088</v>
      </c>
      <c r="D2630" s="980">
        <v>119.81</v>
      </c>
      <c r="E2630" s="895">
        <v>13541</v>
      </c>
      <c r="F2630" s="1253"/>
      <c r="G2630" s="1251"/>
    </row>
    <row r="2631" spans="3:7">
      <c r="C2631" s="981">
        <v>43089</v>
      </c>
      <c r="D2631" s="980">
        <v>120.43</v>
      </c>
      <c r="E2631" s="895">
        <v>13578</v>
      </c>
      <c r="F2631" s="1253"/>
      <c r="G2631" s="1251"/>
    </row>
    <row r="2632" spans="3:7">
      <c r="C2632" s="981">
        <v>43090</v>
      </c>
      <c r="D2632" s="980">
        <v>120.43</v>
      </c>
      <c r="E2632" s="895">
        <v>13578</v>
      </c>
      <c r="F2632" s="1253"/>
      <c r="G2632" s="1251"/>
    </row>
    <row r="2633" spans="3:7">
      <c r="C2633" s="981">
        <v>43091</v>
      </c>
      <c r="D2633" s="980">
        <v>120.43</v>
      </c>
      <c r="E2633" s="895">
        <v>13578</v>
      </c>
      <c r="F2633" s="1253"/>
      <c r="G2633" s="1251"/>
    </row>
    <row r="2634" spans="3:7">
      <c r="C2634" s="981">
        <v>43092</v>
      </c>
      <c r="D2634" s="980">
        <v>120.43</v>
      </c>
      <c r="E2634" s="895">
        <v>13578</v>
      </c>
      <c r="F2634" s="1253"/>
      <c r="G2634" s="1251"/>
    </row>
    <row r="2635" spans="3:7">
      <c r="C2635" s="981">
        <v>43093</v>
      </c>
      <c r="D2635" s="980">
        <v>120.43</v>
      </c>
      <c r="E2635" s="895">
        <v>13578</v>
      </c>
      <c r="F2635" s="1253"/>
      <c r="G2635" s="1251"/>
    </row>
    <row r="2636" spans="3:7">
      <c r="C2636" s="981">
        <v>43094</v>
      </c>
      <c r="D2636" s="980">
        <v>120.43</v>
      </c>
      <c r="E2636" s="895">
        <v>13578</v>
      </c>
      <c r="F2636" s="1253"/>
      <c r="G2636" s="1251"/>
    </row>
    <row r="2637" spans="3:7">
      <c r="C2637" s="981">
        <v>43095</v>
      </c>
      <c r="D2637" s="980">
        <v>120.43</v>
      </c>
      <c r="E2637" s="895">
        <v>13578</v>
      </c>
      <c r="F2637" s="1253"/>
      <c r="G2637" s="1251"/>
    </row>
    <row r="2638" spans="3:7">
      <c r="C2638" s="981">
        <v>43096</v>
      </c>
      <c r="D2638" s="980">
        <v>119.96</v>
      </c>
      <c r="E2638" s="895">
        <v>13569</v>
      </c>
      <c r="F2638" s="1253"/>
      <c r="G2638" s="1251"/>
    </row>
    <row r="2639" spans="3:7">
      <c r="C2639" s="981">
        <v>43097</v>
      </c>
      <c r="D2639" s="980">
        <v>119.96</v>
      </c>
      <c r="E2639" s="895">
        <v>13569</v>
      </c>
      <c r="F2639" s="1253"/>
      <c r="G2639" s="1251"/>
    </row>
    <row r="2640" spans="3:7">
      <c r="C2640" s="981">
        <v>43098</v>
      </c>
      <c r="D2640" s="980">
        <v>119.96</v>
      </c>
      <c r="E2640" s="895">
        <v>13569</v>
      </c>
      <c r="F2640" s="1253"/>
      <c r="G2640" s="1251"/>
    </row>
    <row r="2641" spans="3:7">
      <c r="C2641" s="981">
        <v>43099</v>
      </c>
      <c r="D2641" s="980">
        <v>119.96</v>
      </c>
      <c r="E2641" s="895">
        <v>13569</v>
      </c>
      <c r="F2641" s="1253"/>
      <c r="G2641" s="1251"/>
    </row>
    <row r="2642" spans="3:7">
      <c r="C2642" s="981">
        <v>43100</v>
      </c>
      <c r="D2642" s="980">
        <v>119.96</v>
      </c>
      <c r="E2642" s="895">
        <v>13569</v>
      </c>
      <c r="F2642" s="1253"/>
      <c r="G2642" s="1251"/>
    </row>
    <row r="2643" spans="3:7">
      <c r="C2643" s="981">
        <v>43101</v>
      </c>
      <c r="D2643" s="980">
        <v>119.96</v>
      </c>
      <c r="E2643" s="895">
        <v>13569</v>
      </c>
      <c r="F2643" s="1253"/>
      <c r="G2643" s="1251"/>
    </row>
    <row r="2644" spans="3:7">
      <c r="C2644" s="981">
        <v>43102</v>
      </c>
      <c r="D2644" s="980">
        <v>119.96</v>
      </c>
      <c r="E2644" s="895">
        <v>13569</v>
      </c>
      <c r="F2644" s="1253"/>
      <c r="G2644" s="1251"/>
    </row>
    <row r="2645" spans="3:7">
      <c r="C2645" s="981">
        <v>43103</v>
      </c>
      <c r="D2645" s="980">
        <v>120.09</v>
      </c>
      <c r="E2645" s="895" t="s">
        <v>1380</v>
      </c>
      <c r="F2645" s="1253"/>
      <c r="G2645" s="1251"/>
    </row>
    <row r="2646" spans="3:7">
      <c r="C2646" s="981">
        <v>43104</v>
      </c>
      <c r="D2646" s="980">
        <v>120.09</v>
      </c>
      <c r="E2646" s="895" t="s">
        <v>1380</v>
      </c>
      <c r="F2646" s="1253"/>
      <c r="G2646" s="1251"/>
    </row>
    <row r="2647" spans="3:7">
      <c r="C2647" s="981">
        <v>43105</v>
      </c>
      <c r="D2647" s="980">
        <v>120.09</v>
      </c>
      <c r="E2647" s="895" t="s">
        <v>1380</v>
      </c>
      <c r="F2647" s="1253"/>
      <c r="G2647" s="1251"/>
    </row>
    <row r="2648" spans="3:7">
      <c r="C2648" s="981">
        <v>43106</v>
      </c>
      <c r="D2648" s="980">
        <v>120.09</v>
      </c>
      <c r="E2648" s="895" t="s">
        <v>1380</v>
      </c>
      <c r="F2648" s="1253"/>
      <c r="G2648" s="1251"/>
    </row>
    <row r="2649" spans="3:7">
      <c r="C2649" s="981">
        <v>43107</v>
      </c>
      <c r="D2649" s="980">
        <v>120.09</v>
      </c>
      <c r="E2649" s="895" t="s">
        <v>1380</v>
      </c>
      <c r="F2649" s="1253"/>
      <c r="G2649" s="1251"/>
    </row>
    <row r="2650" spans="3:7">
      <c r="C2650" s="981">
        <v>43108</v>
      </c>
      <c r="D2650" s="980">
        <v>120.09</v>
      </c>
      <c r="E2650" s="895" t="s">
        <v>1380</v>
      </c>
      <c r="F2650" s="1253"/>
      <c r="G2650" s="1251"/>
    </row>
    <row r="2651" spans="3:7">
      <c r="C2651" s="981">
        <v>43109</v>
      </c>
      <c r="D2651" s="980">
        <v>120.09</v>
      </c>
      <c r="E2651" s="895" t="s">
        <v>1380</v>
      </c>
      <c r="F2651" s="1253"/>
      <c r="G2651" s="1251"/>
    </row>
    <row r="2652" spans="3:7">
      <c r="C2652" s="981">
        <v>43110</v>
      </c>
      <c r="D2652" s="980">
        <v>119.25</v>
      </c>
      <c r="E2652" s="895" t="s">
        <v>1381</v>
      </c>
      <c r="F2652" s="1253"/>
      <c r="G2652" s="1251"/>
    </row>
    <row r="2653" spans="3:7">
      <c r="C2653" s="981">
        <v>43111</v>
      </c>
      <c r="D2653" s="980">
        <v>119.25</v>
      </c>
      <c r="E2653" s="895" t="s">
        <v>1381</v>
      </c>
      <c r="F2653" s="1253"/>
      <c r="G2653" s="1251"/>
    </row>
    <row r="2654" spans="3:7">
      <c r="C2654" s="981">
        <v>43112</v>
      </c>
      <c r="D2654" s="980">
        <v>119.25</v>
      </c>
      <c r="E2654" s="895" t="s">
        <v>1381</v>
      </c>
      <c r="F2654" s="1253"/>
      <c r="G2654" s="1251"/>
    </row>
    <row r="2655" spans="3:7">
      <c r="C2655" s="981">
        <v>43113</v>
      </c>
      <c r="D2655" s="980">
        <v>119.25</v>
      </c>
      <c r="E2655" s="895" t="s">
        <v>1381</v>
      </c>
      <c r="F2655" s="1253"/>
      <c r="G2655" s="1251"/>
    </row>
    <row r="2656" spans="3:7">
      <c r="C2656" s="981">
        <v>43114</v>
      </c>
      <c r="D2656" s="980">
        <v>119.25</v>
      </c>
      <c r="E2656" s="895" t="s">
        <v>1381</v>
      </c>
      <c r="F2656" s="1253"/>
      <c r="G2656" s="1251"/>
    </row>
    <row r="2657" spans="3:7">
      <c r="C2657" s="981">
        <v>43115</v>
      </c>
      <c r="D2657" s="980">
        <v>119.25</v>
      </c>
      <c r="E2657" s="895" t="s">
        <v>1381</v>
      </c>
      <c r="F2657" s="1253"/>
      <c r="G2657" s="1251"/>
    </row>
    <row r="2658" spans="3:7">
      <c r="C2658" s="981">
        <v>43116</v>
      </c>
      <c r="D2658" s="980">
        <v>119.25</v>
      </c>
      <c r="E2658" s="895" t="s">
        <v>1381</v>
      </c>
      <c r="F2658" s="1253"/>
      <c r="G2658" s="1251"/>
    </row>
    <row r="2659" spans="3:7">
      <c r="C2659" s="981">
        <v>43117</v>
      </c>
      <c r="D2659" s="980">
        <v>120.17</v>
      </c>
      <c r="E2659" s="895">
        <v>13391</v>
      </c>
      <c r="F2659" s="1253"/>
      <c r="G2659" s="1251"/>
    </row>
    <row r="2660" spans="3:7">
      <c r="C2660" s="981">
        <v>43118</v>
      </c>
      <c r="D2660" s="980">
        <v>120.17</v>
      </c>
      <c r="E2660" s="895">
        <v>13391</v>
      </c>
      <c r="F2660" s="1253"/>
      <c r="G2660" s="1251"/>
    </row>
    <row r="2661" spans="3:7">
      <c r="C2661" s="981">
        <v>43119</v>
      </c>
      <c r="D2661" s="980">
        <v>120.17</v>
      </c>
      <c r="E2661" s="895">
        <v>13391</v>
      </c>
      <c r="F2661" s="1253"/>
      <c r="G2661" s="1251"/>
    </row>
    <row r="2662" spans="3:7">
      <c r="C2662" s="981">
        <v>43120</v>
      </c>
      <c r="D2662" s="980">
        <v>120.17</v>
      </c>
      <c r="E2662" s="895">
        <v>13391</v>
      </c>
      <c r="F2662" s="1253"/>
      <c r="G2662" s="1251"/>
    </row>
    <row r="2663" spans="3:7">
      <c r="C2663" s="981">
        <v>43121</v>
      </c>
      <c r="D2663" s="980">
        <v>120.17</v>
      </c>
      <c r="E2663" s="895">
        <v>13391</v>
      </c>
      <c r="F2663" s="1253"/>
      <c r="G2663" s="1251"/>
    </row>
    <row r="2664" spans="3:7">
      <c r="C2664" s="981">
        <v>43122</v>
      </c>
      <c r="D2664" s="980">
        <v>120.17</v>
      </c>
      <c r="E2664" s="895">
        <v>13391</v>
      </c>
      <c r="F2664" s="1253"/>
      <c r="G2664" s="1251"/>
    </row>
    <row r="2665" spans="3:7">
      <c r="C2665" s="981">
        <v>43123</v>
      </c>
      <c r="D2665" s="980">
        <v>120.17</v>
      </c>
      <c r="E2665" s="895">
        <v>13391</v>
      </c>
      <c r="F2665" s="1253"/>
      <c r="G2665" s="1251"/>
    </row>
    <row r="2666" spans="3:7">
      <c r="C2666" s="981">
        <v>43124</v>
      </c>
      <c r="D2666" s="980">
        <v>120.31</v>
      </c>
      <c r="E2666" s="895">
        <v>13339</v>
      </c>
      <c r="F2666" s="1253"/>
      <c r="G2666" s="1251"/>
    </row>
    <row r="2667" spans="3:7">
      <c r="C2667" s="981">
        <v>43125</v>
      </c>
      <c r="D2667" s="980">
        <v>120.31</v>
      </c>
      <c r="E2667" s="895">
        <v>13339</v>
      </c>
      <c r="F2667" s="1253"/>
      <c r="G2667" s="1251"/>
    </row>
    <row r="2668" spans="3:7">
      <c r="C2668" s="981">
        <v>43126</v>
      </c>
      <c r="D2668" s="980">
        <v>120.31</v>
      </c>
      <c r="E2668" s="895">
        <v>13339</v>
      </c>
      <c r="F2668" s="1253"/>
      <c r="G2668" s="1251"/>
    </row>
    <row r="2669" spans="3:7">
      <c r="C2669" s="981">
        <v>43127</v>
      </c>
      <c r="D2669" s="980">
        <v>120.31</v>
      </c>
      <c r="E2669" s="895">
        <v>13339</v>
      </c>
      <c r="F2669" s="1253"/>
      <c r="G2669" s="1251"/>
    </row>
    <row r="2670" spans="3:7">
      <c r="C2670" s="981">
        <v>43128</v>
      </c>
      <c r="D2670" s="980">
        <v>120.31</v>
      </c>
      <c r="E2670" s="895">
        <v>13339</v>
      </c>
      <c r="F2670" s="1253"/>
      <c r="G2670" s="1251"/>
    </row>
    <row r="2671" spans="3:7">
      <c r="C2671" s="981">
        <v>43129</v>
      </c>
      <c r="D2671" s="980">
        <v>120.31</v>
      </c>
      <c r="E2671" s="895">
        <v>13339</v>
      </c>
      <c r="F2671" s="1253"/>
      <c r="G2671" s="1251"/>
    </row>
    <row r="2672" spans="3:7">
      <c r="C2672" s="981">
        <v>43130</v>
      </c>
      <c r="D2672" s="980">
        <v>120.31</v>
      </c>
      <c r="E2672" s="895">
        <v>13339</v>
      </c>
      <c r="F2672" s="1253"/>
      <c r="G2672" s="1251"/>
    </row>
    <row r="2673" spans="3:7">
      <c r="C2673" s="981">
        <v>43131</v>
      </c>
      <c r="D2673" s="980">
        <v>121.83</v>
      </c>
      <c r="E2673" s="895">
        <v>13313</v>
      </c>
      <c r="F2673" s="1253"/>
      <c r="G2673" s="1251"/>
    </row>
    <row r="2674" spans="3:7">
      <c r="C2674" s="981">
        <v>43132</v>
      </c>
      <c r="D2674" s="980">
        <v>121.83</v>
      </c>
      <c r="E2674" s="895">
        <v>13313</v>
      </c>
      <c r="F2674" s="1253"/>
      <c r="G2674" s="1251"/>
    </row>
    <row r="2675" spans="3:7">
      <c r="C2675" s="981">
        <v>43133</v>
      </c>
      <c r="D2675" s="980">
        <v>121.83</v>
      </c>
      <c r="E2675" s="895">
        <v>13313</v>
      </c>
      <c r="F2675" s="1253"/>
      <c r="G2675" s="1251"/>
    </row>
    <row r="2676" spans="3:7">
      <c r="C2676" s="981">
        <v>43134</v>
      </c>
      <c r="D2676" s="980">
        <v>121.83</v>
      </c>
      <c r="E2676" s="895">
        <v>13313</v>
      </c>
      <c r="F2676" s="1253"/>
      <c r="G2676" s="1251"/>
    </row>
    <row r="2677" spans="3:7">
      <c r="C2677" s="981">
        <v>43135</v>
      </c>
      <c r="D2677" s="980">
        <v>121.83</v>
      </c>
      <c r="E2677" s="895">
        <v>13313</v>
      </c>
      <c r="F2677" s="1253"/>
      <c r="G2677" s="1251"/>
    </row>
    <row r="2678" spans="3:7">
      <c r="C2678" s="981">
        <v>43136</v>
      </c>
      <c r="D2678" s="980">
        <v>121.83</v>
      </c>
      <c r="E2678" s="895">
        <v>13313</v>
      </c>
      <c r="F2678" s="1253"/>
      <c r="G2678" s="1251"/>
    </row>
    <row r="2679" spans="3:7">
      <c r="C2679" s="981">
        <v>43137</v>
      </c>
      <c r="D2679" s="980">
        <v>121.83</v>
      </c>
      <c r="E2679" s="895">
        <v>13313</v>
      </c>
      <c r="F2679" s="1253"/>
      <c r="G2679" s="1251"/>
    </row>
    <row r="2680" spans="3:7">
      <c r="C2680" s="981">
        <v>43138</v>
      </c>
      <c r="D2680" s="980">
        <v>122.75</v>
      </c>
      <c r="E2680" s="895">
        <v>13440</v>
      </c>
      <c r="F2680" s="1253"/>
      <c r="G2680" s="1251"/>
    </row>
    <row r="2681" spans="3:7">
      <c r="C2681" s="981">
        <v>43139</v>
      </c>
      <c r="D2681" s="980">
        <v>122.75</v>
      </c>
      <c r="E2681" s="895">
        <v>13440</v>
      </c>
      <c r="F2681" s="1253"/>
      <c r="G2681" s="1251"/>
    </row>
    <row r="2682" spans="3:7">
      <c r="C2682" s="981">
        <v>43140</v>
      </c>
      <c r="D2682" s="980">
        <v>122.75</v>
      </c>
      <c r="E2682" s="895">
        <v>13440</v>
      </c>
      <c r="F2682" s="1253"/>
      <c r="G2682" s="1251"/>
    </row>
    <row r="2683" spans="3:7">
      <c r="C2683" s="981">
        <v>43141</v>
      </c>
      <c r="D2683" s="980">
        <v>122.75</v>
      </c>
      <c r="E2683" s="895">
        <v>13440</v>
      </c>
      <c r="F2683" s="1253"/>
      <c r="G2683" s="1251"/>
    </row>
    <row r="2684" spans="3:7">
      <c r="C2684" s="981">
        <v>43142</v>
      </c>
      <c r="D2684" s="980">
        <v>122.75</v>
      </c>
      <c r="E2684" s="895">
        <v>13440</v>
      </c>
      <c r="F2684" s="1253"/>
      <c r="G2684" s="1251"/>
    </row>
    <row r="2685" spans="3:7">
      <c r="C2685" s="981">
        <v>43143</v>
      </c>
      <c r="D2685" s="980">
        <v>122.75</v>
      </c>
      <c r="E2685" s="895">
        <v>13440</v>
      </c>
      <c r="F2685" s="1253"/>
      <c r="G2685" s="1251"/>
    </row>
    <row r="2686" spans="3:7">
      <c r="C2686" s="981">
        <v>43144</v>
      </c>
      <c r="D2686" s="980">
        <v>122.75</v>
      </c>
      <c r="E2686" s="895">
        <v>13440</v>
      </c>
      <c r="F2686" s="1253"/>
      <c r="G2686" s="1251"/>
    </row>
    <row r="2687" spans="3:7">
      <c r="C2687" s="981">
        <v>43145</v>
      </c>
      <c r="D2687" s="980">
        <v>124.66</v>
      </c>
      <c r="E2687" s="895">
        <v>13592</v>
      </c>
      <c r="F2687" s="1253"/>
      <c r="G2687" s="1251"/>
    </row>
    <row r="2688" spans="3:7">
      <c r="C2688" s="981">
        <v>43146</v>
      </c>
      <c r="D2688" s="980">
        <v>124.66</v>
      </c>
      <c r="E2688" s="895">
        <v>13592</v>
      </c>
      <c r="F2688" s="1253"/>
      <c r="G2688" s="1251"/>
    </row>
    <row r="2689" spans="3:7">
      <c r="C2689" s="981">
        <v>43147</v>
      </c>
      <c r="D2689" s="980">
        <v>124.66</v>
      </c>
      <c r="E2689" s="895">
        <v>13592</v>
      </c>
      <c r="F2689" s="1253"/>
      <c r="G2689" s="1251"/>
    </row>
    <row r="2690" spans="3:7">
      <c r="C2690" s="981">
        <v>43148</v>
      </c>
      <c r="D2690" s="980">
        <v>124.66</v>
      </c>
      <c r="E2690" s="895">
        <v>13592</v>
      </c>
      <c r="F2690" s="1253"/>
      <c r="G2690" s="1251"/>
    </row>
    <row r="2691" spans="3:7">
      <c r="C2691" s="981">
        <v>43149</v>
      </c>
      <c r="D2691" s="980">
        <v>124.66</v>
      </c>
      <c r="E2691" s="895">
        <v>13592</v>
      </c>
      <c r="F2691" s="1253"/>
      <c r="G2691" s="1251"/>
    </row>
    <row r="2692" spans="3:7">
      <c r="C2692" s="981">
        <v>43150</v>
      </c>
      <c r="D2692" s="980">
        <v>124.66</v>
      </c>
      <c r="E2692" s="895">
        <v>13592</v>
      </c>
      <c r="F2692" s="1253"/>
      <c r="G2692" s="1251"/>
    </row>
    <row r="2693" spans="3:7">
      <c r="C2693" s="981">
        <v>43151</v>
      </c>
      <c r="D2693" s="980">
        <v>124.66</v>
      </c>
      <c r="E2693" s="895">
        <v>13592</v>
      </c>
      <c r="F2693" s="1253"/>
      <c r="G2693" s="1251"/>
    </row>
    <row r="2694" spans="3:7">
      <c r="C2694" s="981">
        <v>43152</v>
      </c>
      <c r="D2694" s="980">
        <v>127.33</v>
      </c>
      <c r="E2694" s="895">
        <v>13581</v>
      </c>
      <c r="F2694" s="1253"/>
      <c r="G2694" s="1251"/>
    </row>
    <row r="2695" spans="3:7">
      <c r="C2695" s="981">
        <v>43153</v>
      </c>
      <c r="D2695" s="980">
        <v>127.33</v>
      </c>
      <c r="E2695" s="895">
        <v>13581</v>
      </c>
      <c r="F2695" s="1253"/>
      <c r="G2695" s="1251"/>
    </row>
    <row r="2696" spans="3:7">
      <c r="C2696" s="981">
        <v>43154</v>
      </c>
      <c r="D2696" s="980">
        <v>127.33</v>
      </c>
      <c r="E2696" s="895">
        <v>13581</v>
      </c>
      <c r="F2696" s="1253"/>
      <c r="G2696" s="1251"/>
    </row>
    <row r="2697" spans="3:7">
      <c r="C2697" s="981">
        <v>43155</v>
      </c>
      <c r="D2697" s="980">
        <v>127.33</v>
      </c>
      <c r="E2697" s="895">
        <v>13581</v>
      </c>
      <c r="F2697" s="1253"/>
      <c r="G2697" s="1251"/>
    </row>
    <row r="2698" spans="3:7">
      <c r="C2698" s="981">
        <v>43156</v>
      </c>
      <c r="D2698" s="980">
        <v>127.33</v>
      </c>
      <c r="E2698" s="895">
        <v>13581</v>
      </c>
      <c r="F2698" s="1253"/>
      <c r="G2698" s="1251"/>
    </row>
    <row r="2699" spans="3:7">
      <c r="C2699" s="981">
        <v>43157</v>
      </c>
      <c r="D2699" s="980">
        <v>127.33</v>
      </c>
      <c r="E2699" s="895">
        <v>13581</v>
      </c>
      <c r="F2699" s="1253"/>
      <c r="G2699" s="1251"/>
    </row>
    <row r="2700" spans="3:7">
      <c r="C2700" s="981">
        <v>43158</v>
      </c>
      <c r="D2700" s="980">
        <v>127.33</v>
      </c>
      <c r="E2700" s="895">
        <v>13581</v>
      </c>
      <c r="F2700" s="1253"/>
      <c r="G2700" s="1251"/>
    </row>
    <row r="2701" spans="3:7">
      <c r="C2701" s="981">
        <v>43159</v>
      </c>
      <c r="D2701" s="980">
        <v>127.47</v>
      </c>
      <c r="E2701" s="895">
        <v>13648</v>
      </c>
      <c r="F2701" s="1253"/>
      <c r="G2701" s="1251"/>
    </row>
    <row r="2702" spans="3:7">
      <c r="C2702" s="981">
        <v>43160</v>
      </c>
      <c r="D2702" s="980">
        <v>127.47</v>
      </c>
      <c r="E2702" s="895">
        <v>13648</v>
      </c>
      <c r="F2702" s="1253"/>
      <c r="G2702" s="1251"/>
    </row>
    <row r="2703" spans="3:7">
      <c r="C2703" s="981">
        <v>43161</v>
      </c>
      <c r="D2703" s="980">
        <v>127.47</v>
      </c>
      <c r="E2703" s="895">
        <v>13648</v>
      </c>
      <c r="F2703" s="1253"/>
      <c r="G2703" s="1251"/>
    </row>
    <row r="2704" spans="3:7">
      <c r="C2704" s="981">
        <v>43162</v>
      </c>
      <c r="D2704" s="980">
        <v>127.47</v>
      </c>
      <c r="E2704" s="895">
        <v>13648</v>
      </c>
      <c r="F2704" s="1253"/>
      <c r="G2704" s="1251"/>
    </row>
    <row r="2705" spans="3:7">
      <c r="C2705" s="981">
        <v>43163</v>
      </c>
      <c r="D2705" s="980">
        <v>127.47</v>
      </c>
      <c r="E2705" s="895">
        <v>13648</v>
      </c>
      <c r="F2705" s="1253"/>
      <c r="G2705" s="1251"/>
    </row>
    <row r="2706" spans="3:7">
      <c r="C2706" s="981">
        <v>43164</v>
      </c>
      <c r="D2706" s="980">
        <v>127.47</v>
      </c>
      <c r="E2706" s="895">
        <v>13648</v>
      </c>
      <c r="F2706" s="1253"/>
      <c r="G2706" s="1251"/>
    </row>
    <row r="2707" spans="3:7">
      <c r="C2707" s="981">
        <v>43165</v>
      </c>
      <c r="D2707" s="980">
        <v>127.47</v>
      </c>
      <c r="E2707" s="895">
        <v>13648</v>
      </c>
      <c r="F2707" s="1253"/>
      <c r="G2707" s="1251"/>
    </row>
    <row r="2708" spans="3:7">
      <c r="C2708" s="981">
        <v>43166</v>
      </c>
      <c r="D2708" s="980">
        <v>129.46</v>
      </c>
      <c r="E2708" s="895">
        <v>13755</v>
      </c>
      <c r="F2708" s="1253"/>
      <c r="G2708" s="1251"/>
    </row>
    <row r="2709" spans="3:7">
      <c r="C2709" s="981">
        <v>43167</v>
      </c>
      <c r="D2709" s="980">
        <v>129.46</v>
      </c>
      <c r="E2709" s="895">
        <v>13755</v>
      </c>
      <c r="F2709" s="1253"/>
      <c r="G2709" s="1251"/>
    </row>
    <row r="2710" spans="3:7">
      <c r="C2710" s="981">
        <v>43168</v>
      </c>
      <c r="D2710" s="980">
        <v>129.46</v>
      </c>
      <c r="E2710" s="895">
        <v>13755</v>
      </c>
      <c r="F2710" s="1253"/>
      <c r="G2710" s="1251"/>
    </row>
    <row r="2711" spans="3:7">
      <c r="C2711" s="981">
        <v>43169</v>
      </c>
      <c r="D2711" s="980">
        <v>129.46</v>
      </c>
      <c r="E2711" s="895">
        <v>13755</v>
      </c>
      <c r="F2711" s="1253"/>
      <c r="G2711" s="1251"/>
    </row>
    <row r="2712" spans="3:7">
      <c r="C2712" s="981">
        <v>43170</v>
      </c>
      <c r="D2712" s="980">
        <v>129.46</v>
      </c>
      <c r="E2712" s="895">
        <v>13755</v>
      </c>
      <c r="F2712" s="1253"/>
      <c r="G2712" s="1251"/>
    </row>
    <row r="2713" spans="3:7">
      <c r="C2713" s="981">
        <v>43171</v>
      </c>
      <c r="D2713" s="980">
        <v>129.46</v>
      </c>
      <c r="E2713" s="895">
        <v>13755</v>
      </c>
      <c r="F2713" s="1253"/>
      <c r="G2713" s="1251"/>
    </row>
    <row r="2714" spans="3:7">
      <c r="C2714" s="981">
        <v>43172</v>
      </c>
      <c r="D2714" s="980">
        <v>129.46</v>
      </c>
      <c r="E2714" s="895">
        <v>13755</v>
      </c>
      <c r="F2714" s="1253"/>
      <c r="G2714" s="1251"/>
    </row>
    <row r="2715" spans="3:7">
      <c r="C2715" s="981">
        <v>43173</v>
      </c>
      <c r="D2715" s="980">
        <v>129.58</v>
      </c>
      <c r="E2715" s="895">
        <v>13785</v>
      </c>
      <c r="F2715" s="1253"/>
      <c r="G2715" s="1251"/>
    </row>
    <row r="2716" spans="3:7">
      <c r="C2716" s="981">
        <v>43174</v>
      </c>
      <c r="D2716" s="980">
        <v>129.58</v>
      </c>
      <c r="E2716" s="895">
        <v>13785</v>
      </c>
      <c r="F2716" s="1253"/>
      <c r="G2716" s="1251"/>
    </row>
    <row r="2717" spans="3:7">
      <c r="C2717" s="981">
        <v>43175</v>
      </c>
      <c r="D2717" s="980">
        <v>129.58</v>
      </c>
      <c r="E2717" s="895">
        <v>13785</v>
      </c>
      <c r="F2717" s="1253"/>
      <c r="G2717" s="1251"/>
    </row>
    <row r="2718" spans="3:7">
      <c r="C2718" s="981">
        <v>43176</v>
      </c>
      <c r="D2718" s="980">
        <v>129.58</v>
      </c>
      <c r="E2718" s="895">
        <v>13785</v>
      </c>
      <c r="F2718" s="1253"/>
      <c r="G2718" s="1251"/>
    </row>
    <row r="2719" spans="3:7">
      <c r="C2719" s="981">
        <v>43177</v>
      </c>
      <c r="D2719" s="980">
        <v>129.58</v>
      </c>
      <c r="E2719" s="895">
        <v>13785</v>
      </c>
      <c r="F2719" s="1253"/>
      <c r="G2719" s="1251"/>
    </row>
    <row r="2720" spans="3:7">
      <c r="C2720" s="981">
        <v>43178</v>
      </c>
      <c r="D2720" s="980">
        <v>129.58</v>
      </c>
      <c r="E2720" s="895">
        <v>13785</v>
      </c>
      <c r="F2720" s="1253"/>
      <c r="G2720" s="1251"/>
    </row>
    <row r="2721" spans="3:7">
      <c r="C2721" s="981">
        <v>43179</v>
      </c>
      <c r="D2721" s="980">
        <v>129.58</v>
      </c>
      <c r="E2721" s="895">
        <v>13785</v>
      </c>
      <c r="F2721" s="1253"/>
      <c r="G2721" s="1251"/>
    </row>
    <row r="2722" spans="3:7">
      <c r="C2722" s="981">
        <v>43180</v>
      </c>
      <c r="D2722" s="980">
        <v>129.48</v>
      </c>
      <c r="E2722" s="895">
        <v>13752</v>
      </c>
      <c r="F2722" s="1253"/>
      <c r="G2722" s="1251"/>
    </row>
    <row r="2723" spans="3:7">
      <c r="C2723" s="981">
        <v>43181</v>
      </c>
      <c r="D2723" s="980">
        <v>129.48</v>
      </c>
      <c r="E2723" s="895">
        <v>13752</v>
      </c>
      <c r="F2723" s="1253"/>
      <c r="G2723" s="1251"/>
    </row>
    <row r="2724" spans="3:7">
      <c r="C2724" s="981">
        <v>43182</v>
      </c>
      <c r="D2724" s="980">
        <v>129.48</v>
      </c>
      <c r="E2724" s="895">
        <v>13752</v>
      </c>
      <c r="F2724" s="1253"/>
      <c r="G2724" s="1251"/>
    </row>
    <row r="2725" spans="3:7">
      <c r="C2725" s="981">
        <v>43183</v>
      </c>
      <c r="D2725" s="980">
        <v>129.48</v>
      </c>
      <c r="E2725" s="895">
        <v>13752</v>
      </c>
      <c r="F2725" s="1253"/>
      <c r="G2725" s="1251"/>
    </row>
    <row r="2726" spans="3:7">
      <c r="C2726" s="981">
        <v>43184</v>
      </c>
      <c r="D2726" s="980">
        <v>129.48</v>
      </c>
      <c r="E2726" s="895">
        <v>13752</v>
      </c>
      <c r="F2726" s="1253"/>
      <c r="G2726" s="1251"/>
    </row>
    <row r="2727" spans="3:7">
      <c r="C2727" s="981">
        <v>43185</v>
      </c>
      <c r="D2727" s="980">
        <v>129.48</v>
      </c>
      <c r="E2727" s="895">
        <v>13752</v>
      </c>
      <c r="F2727" s="1253"/>
      <c r="G2727" s="1251"/>
    </row>
    <row r="2728" spans="3:7">
      <c r="C2728" s="981">
        <v>43186</v>
      </c>
      <c r="D2728" s="980">
        <v>129.48</v>
      </c>
      <c r="E2728" s="895">
        <v>13752</v>
      </c>
      <c r="F2728" s="1253"/>
      <c r="G2728" s="1251"/>
    </row>
    <row r="2729" spans="3:7">
      <c r="C2729" s="981">
        <v>43187</v>
      </c>
      <c r="D2729" s="980">
        <v>130.44</v>
      </c>
      <c r="E2729" s="895" t="s">
        <v>1382</v>
      </c>
      <c r="F2729" s="1253"/>
      <c r="G2729" s="1251"/>
    </row>
    <row r="2730" spans="3:7">
      <c r="C2730" s="981">
        <v>43188</v>
      </c>
      <c r="D2730" s="980">
        <v>130.44</v>
      </c>
      <c r="E2730" s="895" t="s">
        <v>1382</v>
      </c>
      <c r="F2730" s="1253"/>
      <c r="G2730" s="1251"/>
    </row>
    <row r="2731" spans="3:7">
      <c r="C2731" s="981">
        <v>43189</v>
      </c>
      <c r="D2731" s="980">
        <v>130.44</v>
      </c>
      <c r="E2731" s="895" t="s">
        <v>1382</v>
      </c>
      <c r="F2731" s="1253"/>
      <c r="G2731" s="1251"/>
    </row>
    <row r="2732" spans="3:7">
      <c r="C2732" s="981">
        <v>43190</v>
      </c>
      <c r="D2732" s="980">
        <v>130.44</v>
      </c>
      <c r="E2732" s="895" t="s">
        <v>1382</v>
      </c>
      <c r="F2732" s="1253"/>
      <c r="G2732" s="1251"/>
    </row>
    <row r="2733" spans="3:7">
      <c r="C2733" s="981">
        <v>43191</v>
      </c>
      <c r="D2733" s="980">
        <v>130.44</v>
      </c>
      <c r="E2733" s="895" t="s">
        <v>1382</v>
      </c>
      <c r="F2733" s="1253"/>
      <c r="G2733" s="1251"/>
    </row>
    <row r="2734" spans="3:7">
      <c r="C2734" s="981">
        <v>43192</v>
      </c>
      <c r="D2734" s="980">
        <v>130.44</v>
      </c>
      <c r="E2734" s="895" t="s">
        <v>1382</v>
      </c>
      <c r="F2734" s="1253"/>
      <c r="G2734" s="1251"/>
    </row>
    <row r="2735" spans="3:7">
      <c r="C2735" s="981">
        <v>43193</v>
      </c>
      <c r="D2735" s="980">
        <v>130.44</v>
      </c>
      <c r="E2735" s="895" t="s">
        <v>1382</v>
      </c>
      <c r="F2735" s="1253"/>
      <c r="G2735" s="1251"/>
    </row>
    <row r="2736" spans="3:7">
      <c r="C2736" s="981">
        <v>43194</v>
      </c>
      <c r="D2736" s="980">
        <v>129.43</v>
      </c>
      <c r="E2736" s="895" t="s">
        <v>1383</v>
      </c>
      <c r="F2736" s="1253"/>
      <c r="G2736" s="1251"/>
    </row>
    <row r="2737" spans="3:7">
      <c r="C2737" s="981">
        <v>43195</v>
      </c>
      <c r="D2737" s="980">
        <v>129.43</v>
      </c>
      <c r="E2737" s="895" t="s">
        <v>1383</v>
      </c>
      <c r="F2737" s="1253"/>
      <c r="G2737" s="1251"/>
    </row>
    <row r="2738" spans="3:7">
      <c r="C2738" s="981">
        <v>43196</v>
      </c>
      <c r="D2738" s="980">
        <v>129.43</v>
      </c>
      <c r="E2738" s="895" t="s">
        <v>1383</v>
      </c>
      <c r="F2738" s="1253"/>
      <c r="G2738" s="1251"/>
    </row>
    <row r="2739" spans="3:7">
      <c r="C2739" s="981">
        <v>43197</v>
      </c>
      <c r="D2739" s="980">
        <v>129.43</v>
      </c>
      <c r="E2739" s="895" t="s">
        <v>1383</v>
      </c>
      <c r="F2739" s="1253"/>
      <c r="G2739" s="1251"/>
    </row>
    <row r="2740" spans="3:7">
      <c r="C2740" s="981">
        <v>43198</v>
      </c>
      <c r="D2740" s="980">
        <v>129.43</v>
      </c>
      <c r="E2740" s="895" t="s">
        <v>1383</v>
      </c>
      <c r="F2740" s="1253"/>
      <c r="G2740" s="1251"/>
    </row>
    <row r="2741" spans="3:7">
      <c r="C2741" s="981">
        <v>43199</v>
      </c>
      <c r="D2741" s="980">
        <v>129.43</v>
      </c>
      <c r="E2741" s="895" t="s">
        <v>1383</v>
      </c>
      <c r="F2741" s="1253"/>
      <c r="G2741" s="1251"/>
    </row>
    <row r="2742" spans="3:7">
      <c r="C2742" s="981">
        <v>43200</v>
      </c>
      <c r="D2742" s="980">
        <v>129.43</v>
      </c>
      <c r="E2742" s="895" t="s">
        <v>1383</v>
      </c>
      <c r="F2742" s="1253"/>
      <c r="G2742" s="1251"/>
    </row>
    <row r="2743" spans="3:7">
      <c r="C2743" s="981">
        <v>43201</v>
      </c>
      <c r="D2743" s="980">
        <v>128.77</v>
      </c>
      <c r="E2743" s="895">
        <v>13768</v>
      </c>
      <c r="F2743" s="1253"/>
      <c r="G2743" s="1251"/>
    </row>
    <row r="2744" spans="3:7">
      <c r="C2744" s="981">
        <v>43202</v>
      </c>
      <c r="D2744" s="980">
        <v>128.77</v>
      </c>
      <c r="E2744" s="895">
        <v>13768</v>
      </c>
      <c r="F2744" s="1253"/>
      <c r="G2744" s="1251"/>
    </row>
    <row r="2745" spans="3:7">
      <c r="C2745" s="981">
        <v>43203</v>
      </c>
      <c r="D2745" s="980">
        <v>128.77</v>
      </c>
      <c r="E2745" s="895">
        <v>13768</v>
      </c>
      <c r="F2745" s="1253"/>
      <c r="G2745" s="1251"/>
    </row>
    <row r="2746" spans="3:7">
      <c r="C2746" s="981">
        <v>43204</v>
      </c>
      <c r="D2746" s="980">
        <v>128.77</v>
      </c>
      <c r="E2746" s="895">
        <v>13768</v>
      </c>
      <c r="F2746" s="1253"/>
      <c r="G2746" s="1251"/>
    </row>
    <row r="2747" spans="3:7">
      <c r="C2747" s="981">
        <v>43205</v>
      </c>
      <c r="D2747" s="980">
        <v>128.77</v>
      </c>
      <c r="E2747" s="895">
        <v>13768</v>
      </c>
      <c r="F2747" s="1253"/>
      <c r="G2747" s="1251"/>
    </row>
    <row r="2748" spans="3:7">
      <c r="C2748" s="981">
        <v>43206</v>
      </c>
      <c r="D2748" s="980">
        <v>128.77</v>
      </c>
      <c r="E2748" s="895">
        <v>13768</v>
      </c>
      <c r="F2748" s="1253"/>
      <c r="G2748" s="1251"/>
    </row>
    <row r="2749" spans="3:7">
      <c r="C2749" s="981">
        <v>43207</v>
      </c>
      <c r="D2749" s="980">
        <v>128.77</v>
      </c>
      <c r="E2749" s="895">
        <v>13768</v>
      </c>
      <c r="F2749" s="1253"/>
      <c r="G2749" s="1251"/>
    </row>
    <row r="2750" spans="3:7">
      <c r="C2750" s="981">
        <v>43208</v>
      </c>
      <c r="D2750" s="980">
        <v>128.53</v>
      </c>
      <c r="E2750" s="895">
        <v>13770</v>
      </c>
      <c r="F2750" s="1253"/>
      <c r="G2750" s="1251"/>
    </row>
    <row r="2751" spans="3:7">
      <c r="C2751" s="981">
        <v>43209</v>
      </c>
      <c r="D2751" s="980">
        <v>128.53</v>
      </c>
      <c r="E2751" s="895">
        <v>13770</v>
      </c>
      <c r="F2751" s="1253"/>
      <c r="G2751" s="1251"/>
    </row>
    <row r="2752" spans="3:7">
      <c r="C2752" s="981">
        <v>43210</v>
      </c>
      <c r="D2752" s="980">
        <v>128.53</v>
      </c>
      <c r="E2752" s="895">
        <v>13770</v>
      </c>
      <c r="F2752" s="1253"/>
      <c r="G2752" s="1251"/>
    </row>
    <row r="2753" spans="3:7">
      <c r="C2753" s="981">
        <v>43211</v>
      </c>
      <c r="D2753" s="980">
        <v>128.53</v>
      </c>
      <c r="E2753" s="895">
        <v>13770</v>
      </c>
      <c r="F2753" s="1253"/>
      <c r="G2753" s="1251"/>
    </row>
    <row r="2754" spans="3:7">
      <c r="C2754" s="981">
        <v>43212</v>
      </c>
      <c r="D2754" s="980">
        <v>128.53</v>
      </c>
      <c r="E2754" s="895">
        <v>13770</v>
      </c>
      <c r="F2754" s="1253"/>
      <c r="G2754" s="1251"/>
    </row>
    <row r="2755" spans="3:7">
      <c r="C2755" s="981">
        <v>43213</v>
      </c>
      <c r="D2755" s="980">
        <v>128.53</v>
      </c>
      <c r="E2755" s="895">
        <v>13770</v>
      </c>
      <c r="F2755" s="1253"/>
      <c r="G2755" s="1251"/>
    </row>
    <row r="2756" spans="3:7">
      <c r="C2756" s="981">
        <v>43214</v>
      </c>
      <c r="D2756" s="980">
        <v>128.53</v>
      </c>
      <c r="E2756" s="895">
        <v>13770</v>
      </c>
      <c r="F2756" s="1253"/>
      <c r="G2756" s="1251"/>
    </row>
    <row r="2757" spans="3:7">
      <c r="C2757" s="981">
        <v>43215</v>
      </c>
      <c r="D2757" s="980">
        <v>128.37</v>
      </c>
      <c r="E2757" s="895">
        <v>13858</v>
      </c>
      <c r="F2757" s="1253"/>
      <c r="G2757" s="1251"/>
    </row>
    <row r="2758" spans="3:7">
      <c r="C2758" s="981">
        <v>43216</v>
      </c>
      <c r="D2758" s="980">
        <v>128.37</v>
      </c>
      <c r="E2758" s="895">
        <v>13858</v>
      </c>
      <c r="F2758" s="1253"/>
      <c r="G2758" s="1251"/>
    </row>
    <row r="2759" spans="3:7">
      <c r="C2759" s="981">
        <v>43217</v>
      </c>
      <c r="D2759" s="980">
        <v>128.37</v>
      </c>
      <c r="E2759" s="895">
        <v>13858</v>
      </c>
      <c r="F2759" s="1253"/>
      <c r="G2759" s="1251"/>
    </row>
    <row r="2760" spans="3:7">
      <c r="C2760" s="981">
        <v>43218</v>
      </c>
      <c r="D2760" s="980">
        <v>128.37</v>
      </c>
      <c r="E2760" s="895">
        <v>13858</v>
      </c>
      <c r="F2760" s="1253"/>
      <c r="G2760" s="1251"/>
    </row>
    <row r="2761" spans="3:7">
      <c r="C2761" s="981">
        <v>43219</v>
      </c>
      <c r="D2761" s="980">
        <v>128.37</v>
      </c>
      <c r="E2761" s="895">
        <v>13858</v>
      </c>
      <c r="F2761" s="1253"/>
      <c r="G2761" s="1251"/>
    </row>
    <row r="2762" spans="3:7">
      <c r="C2762" s="981">
        <v>43220</v>
      </c>
      <c r="D2762" s="980">
        <v>128.37</v>
      </c>
      <c r="E2762" s="895">
        <v>13858</v>
      </c>
      <c r="F2762" s="1253"/>
      <c r="G2762" s="1251"/>
    </row>
    <row r="2763" spans="3:7">
      <c r="C2763" s="981">
        <v>43221</v>
      </c>
      <c r="D2763" s="980">
        <v>128.37</v>
      </c>
      <c r="E2763" s="895">
        <v>13858</v>
      </c>
      <c r="F2763" s="1253"/>
      <c r="G2763" s="1251"/>
    </row>
    <row r="2764" spans="3:7">
      <c r="C2764" s="981">
        <v>43222</v>
      </c>
      <c r="D2764" s="980">
        <v>127.31</v>
      </c>
      <c r="E2764" s="895">
        <v>13894</v>
      </c>
      <c r="F2764" s="1253"/>
      <c r="G2764" s="1251"/>
    </row>
    <row r="2765" spans="3:7">
      <c r="C2765" s="981">
        <v>43223</v>
      </c>
      <c r="D2765" s="980">
        <v>127.31</v>
      </c>
      <c r="E2765" s="895">
        <v>13894</v>
      </c>
      <c r="F2765" s="1253"/>
      <c r="G2765" s="1251"/>
    </row>
    <row r="2766" spans="3:7">
      <c r="C2766" s="981">
        <v>43224</v>
      </c>
      <c r="D2766" s="980">
        <v>127.31</v>
      </c>
      <c r="E2766" s="895">
        <v>13894</v>
      </c>
      <c r="F2766" s="1253"/>
      <c r="G2766" s="1251"/>
    </row>
    <row r="2767" spans="3:7">
      <c r="C2767" s="981">
        <v>43225</v>
      </c>
      <c r="D2767" s="980">
        <v>127.31</v>
      </c>
      <c r="E2767" s="895">
        <v>13894</v>
      </c>
      <c r="F2767" s="1253"/>
      <c r="G2767" s="1251"/>
    </row>
    <row r="2768" spans="3:7">
      <c r="C2768" s="981">
        <v>43226</v>
      </c>
      <c r="D2768" s="980">
        <v>127.31</v>
      </c>
      <c r="E2768" s="895">
        <v>13894</v>
      </c>
      <c r="F2768" s="1253"/>
      <c r="G2768" s="1251"/>
    </row>
    <row r="2769" spans="3:7">
      <c r="C2769" s="981">
        <v>43227</v>
      </c>
      <c r="D2769" s="980">
        <v>127.31</v>
      </c>
      <c r="E2769" s="895">
        <v>13894</v>
      </c>
      <c r="F2769" s="1253"/>
      <c r="G2769" s="1251"/>
    </row>
    <row r="2770" spans="3:7">
      <c r="C2770" s="981">
        <v>43228</v>
      </c>
      <c r="D2770" s="980">
        <v>127.31</v>
      </c>
      <c r="E2770" s="895">
        <v>13894</v>
      </c>
      <c r="F2770" s="1253"/>
      <c r="G2770" s="1251"/>
    </row>
    <row r="2771" spans="3:7">
      <c r="C2771" s="981">
        <v>43229</v>
      </c>
      <c r="D2771" s="980">
        <v>127.78</v>
      </c>
      <c r="E2771" s="895">
        <v>13959</v>
      </c>
      <c r="F2771" s="1253"/>
      <c r="G2771" s="1251"/>
    </row>
    <row r="2772" spans="3:7">
      <c r="C2772" s="981">
        <v>43230</v>
      </c>
      <c r="D2772" s="980">
        <v>127.78</v>
      </c>
      <c r="E2772" s="895">
        <v>13959</v>
      </c>
      <c r="F2772" s="1253"/>
      <c r="G2772" s="1251"/>
    </row>
    <row r="2773" spans="3:7">
      <c r="C2773" s="981">
        <v>43231</v>
      </c>
      <c r="D2773" s="980">
        <v>127.78</v>
      </c>
      <c r="E2773" s="895">
        <v>13959</v>
      </c>
      <c r="F2773" s="1253"/>
      <c r="G2773" s="1251"/>
    </row>
    <row r="2774" spans="3:7">
      <c r="C2774" s="981">
        <v>43232</v>
      </c>
      <c r="D2774" s="980">
        <v>127.78</v>
      </c>
      <c r="E2774" s="895">
        <v>13959</v>
      </c>
      <c r="F2774" s="1253"/>
      <c r="G2774" s="1251"/>
    </row>
    <row r="2775" spans="3:7">
      <c r="C2775" s="981">
        <v>43233</v>
      </c>
      <c r="D2775" s="980">
        <v>127.78</v>
      </c>
      <c r="E2775" s="895">
        <v>13959</v>
      </c>
      <c r="F2775" s="1253"/>
      <c r="G2775" s="1251"/>
    </row>
    <row r="2776" spans="3:7">
      <c r="C2776" s="981">
        <v>43234</v>
      </c>
      <c r="D2776" s="980">
        <v>127.78</v>
      </c>
      <c r="E2776" s="895">
        <v>13959</v>
      </c>
      <c r="F2776" s="1253"/>
      <c r="G2776" s="1251"/>
    </row>
    <row r="2777" spans="3:7">
      <c r="C2777" s="981">
        <v>43235</v>
      </c>
      <c r="D2777" s="980">
        <v>127.78</v>
      </c>
      <c r="E2777" s="895">
        <v>13959</v>
      </c>
      <c r="F2777" s="1253"/>
      <c r="G2777" s="1251"/>
    </row>
    <row r="2778" spans="3:7">
      <c r="C2778" s="981">
        <v>43236</v>
      </c>
      <c r="D2778" s="980">
        <v>127.81</v>
      </c>
      <c r="E2778" s="895">
        <v>14006</v>
      </c>
      <c r="F2778" s="1253"/>
      <c r="G2778" s="1251"/>
    </row>
    <row r="2779" spans="3:7">
      <c r="C2779" s="981">
        <v>43237</v>
      </c>
      <c r="D2779" s="980">
        <v>127.81</v>
      </c>
      <c r="E2779" s="895">
        <v>14006</v>
      </c>
      <c r="F2779" s="1253"/>
      <c r="G2779" s="1251"/>
    </row>
    <row r="2780" spans="3:7">
      <c r="C2780" s="981">
        <v>43238</v>
      </c>
      <c r="D2780" s="980">
        <v>127.81</v>
      </c>
      <c r="E2780" s="895">
        <v>14006</v>
      </c>
      <c r="F2780" s="1253"/>
      <c r="G2780" s="1251"/>
    </row>
    <row r="2781" spans="3:7">
      <c r="C2781" s="981">
        <v>43239</v>
      </c>
      <c r="D2781" s="980">
        <v>127.81</v>
      </c>
      <c r="E2781" s="895">
        <v>14006</v>
      </c>
      <c r="F2781" s="1253"/>
      <c r="G2781" s="1251"/>
    </row>
    <row r="2782" spans="3:7">
      <c r="C2782" s="981">
        <v>43240</v>
      </c>
      <c r="D2782" s="980">
        <v>127.81</v>
      </c>
      <c r="E2782" s="895">
        <v>14006</v>
      </c>
      <c r="F2782" s="1253"/>
      <c r="G2782" s="1251"/>
    </row>
    <row r="2783" spans="3:7">
      <c r="C2783" s="981">
        <v>43241</v>
      </c>
      <c r="D2783" s="980">
        <v>127.81</v>
      </c>
      <c r="E2783" s="895">
        <v>14006</v>
      </c>
      <c r="F2783" s="1253"/>
      <c r="G2783" s="1251"/>
    </row>
    <row r="2784" spans="3:7">
      <c r="C2784" s="981">
        <v>43242</v>
      </c>
      <c r="D2784" s="980">
        <v>127.81</v>
      </c>
      <c r="E2784" s="895">
        <v>14006</v>
      </c>
      <c r="F2784" s="1253"/>
      <c r="G2784" s="1251"/>
    </row>
    <row r="2785" spans="3:7">
      <c r="C2785" s="981">
        <v>43243</v>
      </c>
      <c r="D2785" s="980">
        <v>127.57</v>
      </c>
      <c r="E2785" s="895">
        <v>14134</v>
      </c>
      <c r="F2785" s="1253"/>
      <c r="G2785" s="1251"/>
    </row>
    <row r="2786" spans="3:7">
      <c r="C2786" s="981">
        <v>43244</v>
      </c>
      <c r="D2786" s="980">
        <v>127.57</v>
      </c>
      <c r="E2786" s="895">
        <v>14134</v>
      </c>
      <c r="F2786" s="1253"/>
      <c r="G2786" s="1251"/>
    </row>
    <row r="2787" spans="3:7">
      <c r="C2787" s="981">
        <v>43245</v>
      </c>
      <c r="D2787" s="980">
        <v>127.57</v>
      </c>
      <c r="E2787" s="895">
        <v>14134</v>
      </c>
      <c r="F2787" s="1253"/>
      <c r="G2787" s="1251"/>
    </row>
    <row r="2788" spans="3:7">
      <c r="C2788" s="981">
        <v>43246</v>
      </c>
      <c r="D2788" s="980">
        <v>127.57</v>
      </c>
      <c r="E2788" s="895">
        <v>14134</v>
      </c>
      <c r="F2788" s="1253"/>
      <c r="G2788" s="1251"/>
    </row>
    <row r="2789" spans="3:7">
      <c r="C2789" s="981">
        <v>43247</v>
      </c>
      <c r="D2789" s="980">
        <v>127.57</v>
      </c>
      <c r="E2789" s="895">
        <v>14134</v>
      </c>
      <c r="F2789" s="1253"/>
      <c r="G2789" s="1251"/>
    </row>
    <row r="2790" spans="3:7">
      <c r="C2790" s="981">
        <v>43248</v>
      </c>
      <c r="D2790" s="980">
        <v>127.57</v>
      </c>
      <c r="E2790" s="895">
        <v>14134</v>
      </c>
      <c r="F2790" s="1253"/>
      <c r="G2790" s="1251"/>
    </row>
    <row r="2791" spans="3:7">
      <c r="C2791" s="981">
        <v>43249</v>
      </c>
      <c r="D2791" s="980">
        <v>127.57</v>
      </c>
      <c r="E2791" s="895">
        <v>14134</v>
      </c>
      <c r="F2791" s="1253"/>
      <c r="G2791" s="1251"/>
    </row>
    <row r="2792" spans="3:7">
      <c r="C2792" s="981">
        <v>43250</v>
      </c>
      <c r="D2792" s="980">
        <v>128.7</v>
      </c>
      <c r="E2792" s="895">
        <v>14136</v>
      </c>
      <c r="F2792" s="1253"/>
      <c r="G2792" s="1251"/>
    </row>
    <row r="2793" spans="3:7">
      <c r="C2793" s="981">
        <v>43251</v>
      </c>
      <c r="D2793" s="980">
        <v>128.7</v>
      </c>
      <c r="E2793" s="895">
        <v>14136</v>
      </c>
      <c r="F2793" s="1253"/>
      <c r="G2793" s="1251"/>
    </row>
    <row r="2794" spans="3:7">
      <c r="C2794" s="981">
        <v>43252</v>
      </c>
      <c r="D2794" s="980">
        <v>128.7</v>
      </c>
      <c r="E2794" s="895">
        <v>14136</v>
      </c>
      <c r="F2794" s="1253"/>
      <c r="G2794" s="1251"/>
    </row>
    <row r="2795" spans="3:7">
      <c r="C2795" s="981">
        <v>43253</v>
      </c>
      <c r="D2795" s="980">
        <v>128.7</v>
      </c>
      <c r="E2795" s="895">
        <v>14136</v>
      </c>
      <c r="F2795" s="1253"/>
      <c r="G2795" s="1251"/>
    </row>
    <row r="2796" spans="3:7">
      <c r="C2796" s="981">
        <v>43254</v>
      </c>
      <c r="D2796" s="980">
        <v>128.7</v>
      </c>
      <c r="E2796" s="895">
        <v>14136</v>
      </c>
      <c r="F2796" s="1253"/>
      <c r="G2796" s="1251"/>
    </row>
    <row r="2797" spans="3:7">
      <c r="C2797" s="981">
        <v>43255</v>
      </c>
      <c r="D2797" s="980">
        <v>128.7</v>
      </c>
      <c r="E2797" s="895">
        <v>14136</v>
      </c>
      <c r="F2797" s="1253"/>
      <c r="G2797" s="1251"/>
    </row>
    <row r="2798" spans="3:7">
      <c r="C2798" s="981">
        <v>43256</v>
      </c>
      <c r="D2798" s="980">
        <v>128.7</v>
      </c>
      <c r="E2798" s="895">
        <v>14136</v>
      </c>
      <c r="F2798" s="1253"/>
      <c r="G2798" s="1251"/>
    </row>
    <row r="2799" spans="3:7">
      <c r="C2799" s="981">
        <v>43257</v>
      </c>
      <c r="D2799" s="980">
        <v>127.27</v>
      </c>
      <c r="E2799" s="895">
        <v>13923</v>
      </c>
      <c r="F2799" s="1253"/>
      <c r="G2799" s="1251"/>
    </row>
    <row r="2800" spans="3:7">
      <c r="C2800" s="981">
        <v>43258</v>
      </c>
      <c r="D2800" s="980">
        <v>127.27</v>
      </c>
      <c r="E2800" s="895">
        <v>13923</v>
      </c>
      <c r="F2800" s="1253"/>
      <c r="G2800" s="1251"/>
    </row>
    <row r="2801" spans="3:7">
      <c r="C2801" s="981">
        <v>43259</v>
      </c>
      <c r="D2801" s="980">
        <v>127.27</v>
      </c>
      <c r="E2801" s="895">
        <v>13923</v>
      </c>
      <c r="F2801" s="1253"/>
      <c r="G2801" s="1251"/>
    </row>
    <row r="2802" spans="3:7">
      <c r="C2802" s="981">
        <v>43260</v>
      </c>
      <c r="D2802" s="980">
        <v>127.27</v>
      </c>
      <c r="E2802" s="895">
        <v>13923</v>
      </c>
      <c r="F2802" s="1253"/>
      <c r="G2802" s="1251"/>
    </row>
    <row r="2803" spans="3:7">
      <c r="C2803" s="981">
        <v>43261</v>
      </c>
      <c r="D2803" s="980">
        <v>127.27</v>
      </c>
      <c r="E2803" s="895">
        <v>13923</v>
      </c>
      <c r="F2803" s="1253"/>
      <c r="G2803" s="1251"/>
    </row>
    <row r="2804" spans="3:7">
      <c r="C2804" s="981">
        <v>43262</v>
      </c>
      <c r="D2804" s="980">
        <v>127.27</v>
      </c>
      <c r="E2804" s="895">
        <v>13923</v>
      </c>
      <c r="F2804" s="1253"/>
      <c r="G2804" s="1251"/>
    </row>
    <row r="2805" spans="3:7">
      <c r="C2805" s="981">
        <v>43263</v>
      </c>
      <c r="D2805" s="980">
        <v>127.27</v>
      </c>
      <c r="E2805" s="895">
        <v>13923</v>
      </c>
      <c r="F2805" s="1253"/>
      <c r="G2805" s="1251"/>
    </row>
    <row r="2806" spans="3:7">
      <c r="C2806" s="981">
        <v>43264</v>
      </c>
      <c r="D2806" s="980">
        <v>127.27</v>
      </c>
      <c r="E2806" s="895">
        <v>13923</v>
      </c>
      <c r="F2806" s="1253"/>
      <c r="G2806" s="1251"/>
    </row>
    <row r="2807" spans="3:7">
      <c r="C2807" s="981">
        <v>43265</v>
      </c>
      <c r="D2807" s="980">
        <v>127.27</v>
      </c>
      <c r="E2807" s="895">
        <v>13923</v>
      </c>
      <c r="F2807" s="1253"/>
      <c r="G2807" s="1251"/>
    </row>
    <row r="2808" spans="3:7">
      <c r="C2808" s="981">
        <v>43266</v>
      </c>
      <c r="D2808" s="980">
        <v>127.27</v>
      </c>
      <c r="E2808" s="895">
        <v>13923</v>
      </c>
      <c r="F2808" s="1253"/>
      <c r="G2808" s="1251"/>
    </row>
    <row r="2809" spans="3:7">
      <c r="C2809" s="981">
        <v>43267</v>
      </c>
      <c r="D2809" s="980">
        <v>127.27</v>
      </c>
      <c r="E2809" s="895">
        <v>13923</v>
      </c>
      <c r="F2809" s="1253"/>
      <c r="G2809" s="1251"/>
    </row>
    <row r="2810" spans="3:7">
      <c r="C2810" s="981">
        <v>43268</v>
      </c>
      <c r="D2810" s="980">
        <v>127.27</v>
      </c>
      <c r="E2810" s="895">
        <v>13923</v>
      </c>
      <c r="F2810" s="1253"/>
      <c r="G2810" s="1251"/>
    </row>
    <row r="2811" spans="3:7">
      <c r="C2811" s="981">
        <v>43269</v>
      </c>
      <c r="D2811" s="980">
        <v>127.27</v>
      </c>
      <c r="E2811" s="895">
        <v>13923</v>
      </c>
      <c r="F2811" s="1253"/>
      <c r="G2811" s="1251"/>
    </row>
    <row r="2812" spans="3:7">
      <c r="C2812" s="981">
        <v>43270</v>
      </c>
      <c r="D2812" s="980">
        <v>127.27</v>
      </c>
      <c r="E2812" s="895">
        <v>13923</v>
      </c>
      <c r="F2812" s="1253"/>
      <c r="G2812" s="1251"/>
    </row>
    <row r="2813" spans="3:7">
      <c r="C2813" s="981">
        <v>43271</v>
      </c>
      <c r="D2813" s="980">
        <v>127.27</v>
      </c>
      <c r="E2813" s="895">
        <v>13923</v>
      </c>
      <c r="F2813" s="1253"/>
      <c r="G2813" s="1251"/>
    </row>
    <row r="2814" spans="3:7">
      <c r="C2814" s="981">
        <v>43272</v>
      </c>
      <c r="D2814" s="980">
        <v>127.27</v>
      </c>
      <c r="E2814" s="895">
        <v>13923</v>
      </c>
      <c r="F2814" s="1253"/>
      <c r="G2814" s="1251"/>
    </row>
    <row r="2815" spans="3:7">
      <c r="C2815" s="981">
        <v>43273</v>
      </c>
      <c r="D2815" s="980">
        <v>127.27</v>
      </c>
      <c r="E2815" s="895">
        <v>13923</v>
      </c>
      <c r="F2815" s="1253"/>
      <c r="G2815" s="1251"/>
    </row>
    <row r="2816" spans="3:7">
      <c r="C2816" s="981">
        <v>43274</v>
      </c>
      <c r="D2816" s="980">
        <v>127.27</v>
      </c>
      <c r="E2816" s="895">
        <v>13923</v>
      </c>
      <c r="F2816" s="1253"/>
      <c r="G2816" s="1251"/>
    </row>
    <row r="2817" spans="3:7">
      <c r="C2817" s="981">
        <v>43275</v>
      </c>
      <c r="D2817" s="980">
        <v>127.27</v>
      </c>
      <c r="E2817" s="895">
        <v>13923</v>
      </c>
      <c r="F2817" s="1253"/>
      <c r="G2817" s="1251"/>
    </row>
    <row r="2818" spans="3:7">
      <c r="C2818" s="981">
        <v>43276</v>
      </c>
      <c r="D2818" s="980">
        <v>127.27</v>
      </c>
      <c r="E2818" s="895">
        <v>13923</v>
      </c>
      <c r="F2818" s="1253"/>
      <c r="G2818" s="1251"/>
    </row>
    <row r="2819" spans="3:7">
      <c r="C2819" s="981">
        <v>43277</v>
      </c>
      <c r="D2819" s="980">
        <v>127.27</v>
      </c>
      <c r="E2819" s="895">
        <v>13923</v>
      </c>
      <c r="F2819" s="1253"/>
      <c r="G2819" s="1251"/>
    </row>
    <row r="2820" spans="3:7">
      <c r="C2820" s="981">
        <v>43278</v>
      </c>
      <c r="D2820" s="980">
        <v>128.38</v>
      </c>
      <c r="E2820" s="895">
        <v>14116</v>
      </c>
      <c r="F2820" s="1253"/>
      <c r="G2820" s="1251"/>
    </row>
    <row r="2821" spans="3:7">
      <c r="C2821" s="981">
        <v>43279</v>
      </c>
      <c r="D2821" s="980">
        <v>128.38</v>
      </c>
      <c r="E2821" s="895">
        <v>14116</v>
      </c>
      <c r="F2821" s="1253"/>
      <c r="G2821" s="1251"/>
    </row>
    <row r="2822" spans="3:7">
      <c r="C2822" s="981">
        <v>43280</v>
      </c>
      <c r="D2822" s="980">
        <v>128.38</v>
      </c>
      <c r="E2822" s="895">
        <v>14116</v>
      </c>
      <c r="F2822" s="1253"/>
      <c r="G2822" s="1251"/>
    </row>
    <row r="2823" spans="3:7">
      <c r="C2823" s="981">
        <v>43281</v>
      </c>
      <c r="D2823" s="980">
        <v>128.38</v>
      </c>
      <c r="E2823" s="895">
        <v>14116</v>
      </c>
      <c r="F2823" s="1253"/>
      <c r="G2823" s="1251"/>
    </row>
    <row r="2824" spans="3:7">
      <c r="C2824" s="981">
        <v>43282</v>
      </c>
      <c r="D2824" s="980">
        <v>128.38</v>
      </c>
      <c r="E2824" s="895">
        <v>14116</v>
      </c>
      <c r="F2824" s="1253"/>
      <c r="G2824" s="1251"/>
    </row>
    <row r="2825" spans="3:7">
      <c r="C2825" s="981">
        <v>43283</v>
      </c>
      <c r="D2825" s="980">
        <v>128.38</v>
      </c>
      <c r="E2825" s="895">
        <v>14116</v>
      </c>
      <c r="F2825" s="1253"/>
      <c r="G2825" s="1251"/>
    </row>
    <row r="2826" spans="3:7">
      <c r="C2826" s="981">
        <v>43284</v>
      </c>
      <c r="D2826" s="980">
        <v>128.38</v>
      </c>
      <c r="E2826" s="895">
        <v>14116</v>
      </c>
      <c r="F2826" s="1253"/>
      <c r="G2826" s="1251"/>
    </row>
    <row r="2827" spans="3:7">
      <c r="C2827" s="981">
        <v>43285</v>
      </c>
      <c r="D2827" s="980">
        <v>129.41</v>
      </c>
      <c r="E2827" s="895">
        <v>14301</v>
      </c>
      <c r="F2827" s="1253"/>
      <c r="G2827" s="1251"/>
    </row>
    <row r="2828" spans="3:7">
      <c r="C2828" s="981">
        <v>43286</v>
      </c>
      <c r="D2828" s="980">
        <v>129.41</v>
      </c>
      <c r="E2828" s="895">
        <v>14301</v>
      </c>
      <c r="F2828" s="1253"/>
      <c r="G2828" s="1251"/>
    </row>
    <row r="2829" spans="3:7">
      <c r="C2829" s="981">
        <v>43287</v>
      </c>
      <c r="D2829" s="980">
        <v>129.41</v>
      </c>
      <c r="E2829" s="895">
        <v>14301</v>
      </c>
      <c r="F2829" s="1253"/>
      <c r="G2829" s="1251"/>
    </row>
    <row r="2830" spans="3:7">
      <c r="C2830" s="981">
        <v>43288</v>
      </c>
      <c r="D2830" s="980">
        <v>129.41</v>
      </c>
      <c r="E2830" s="895">
        <v>14301</v>
      </c>
      <c r="F2830" s="1253"/>
      <c r="G2830" s="1251"/>
    </row>
    <row r="2831" spans="3:7">
      <c r="C2831" s="981">
        <v>43289</v>
      </c>
      <c r="D2831" s="980">
        <v>129.41</v>
      </c>
      <c r="E2831" s="895">
        <v>14301</v>
      </c>
      <c r="F2831" s="1253"/>
      <c r="G2831" s="1251"/>
    </row>
    <row r="2832" spans="3:7">
      <c r="C2832" s="981">
        <v>43290</v>
      </c>
      <c r="D2832" s="980">
        <v>129.41</v>
      </c>
      <c r="E2832" s="895">
        <v>14301</v>
      </c>
      <c r="F2832" s="1253"/>
      <c r="G2832" s="1251"/>
    </row>
    <row r="2833" spans="3:7">
      <c r="C2833" s="981">
        <v>43291</v>
      </c>
      <c r="D2833" s="980">
        <v>129.41</v>
      </c>
      <c r="E2833" s="895">
        <v>14301</v>
      </c>
      <c r="F2833" s="1253"/>
      <c r="G2833" s="1251"/>
    </row>
    <row r="2834" spans="3:7">
      <c r="C2834" s="981">
        <v>43292</v>
      </c>
      <c r="D2834" s="980">
        <v>129.79</v>
      </c>
      <c r="E2834" s="895">
        <v>14366</v>
      </c>
      <c r="F2834" s="1253"/>
      <c r="G2834" s="1251"/>
    </row>
    <row r="2835" spans="3:7">
      <c r="C2835" s="981">
        <v>43293</v>
      </c>
      <c r="D2835" s="980">
        <v>129.79</v>
      </c>
      <c r="E2835" s="895">
        <v>14366</v>
      </c>
      <c r="F2835" s="1253"/>
      <c r="G2835" s="1251"/>
    </row>
    <row r="2836" spans="3:7">
      <c r="C2836" s="981">
        <v>43294</v>
      </c>
      <c r="D2836" s="980">
        <v>129.79</v>
      </c>
      <c r="E2836" s="895">
        <v>14366</v>
      </c>
      <c r="F2836" s="1253"/>
      <c r="G2836" s="1251"/>
    </row>
    <row r="2837" spans="3:7">
      <c r="C2837" s="981">
        <v>43295</v>
      </c>
      <c r="D2837" s="980">
        <v>129.79</v>
      </c>
      <c r="E2837" s="895">
        <v>14366</v>
      </c>
      <c r="F2837" s="1253"/>
      <c r="G2837" s="1251"/>
    </row>
    <row r="2838" spans="3:7">
      <c r="C2838" s="981">
        <v>43296</v>
      </c>
      <c r="D2838" s="980">
        <v>129.79</v>
      </c>
      <c r="E2838" s="895">
        <v>14366</v>
      </c>
      <c r="F2838" s="1253"/>
      <c r="G2838" s="1251"/>
    </row>
    <row r="2839" spans="3:7">
      <c r="C2839" s="981">
        <v>43297</v>
      </c>
      <c r="D2839" s="980">
        <v>129.79</v>
      </c>
      <c r="E2839" s="895">
        <v>14366</v>
      </c>
      <c r="F2839" s="1253"/>
      <c r="G2839" s="1251"/>
    </row>
    <row r="2840" spans="3:7">
      <c r="C2840" s="981">
        <v>43298</v>
      </c>
      <c r="D2840" s="980">
        <v>129.79</v>
      </c>
      <c r="E2840" s="895">
        <v>14366</v>
      </c>
      <c r="F2840" s="1253"/>
      <c r="G2840" s="1251"/>
    </row>
    <row r="2841" spans="3:7">
      <c r="C2841" s="981">
        <v>43299</v>
      </c>
      <c r="D2841" s="980">
        <v>128.09</v>
      </c>
      <c r="E2841" s="895">
        <v>14388</v>
      </c>
      <c r="F2841" s="1253"/>
      <c r="G2841" s="1251"/>
    </row>
    <row r="2842" spans="3:7">
      <c r="C2842" s="981">
        <v>43300</v>
      </c>
      <c r="D2842" s="980">
        <v>128.09</v>
      </c>
      <c r="E2842" s="895">
        <v>14388</v>
      </c>
      <c r="F2842" s="1253"/>
      <c r="G2842" s="1251"/>
    </row>
    <row r="2843" spans="3:7">
      <c r="C2843" s="981">
        <v>43301</v>
      </c>
      <c r="D2843" s="980">
        <v>128.09</v>
      </c>
      <c r="E2843" s="895">
        <v>14388</v>
      </c>
      <c r="F2843" s="1253"/>
      <c r="G2843" s="1251"/>
    </row>
    <row r="2844" spans="3:7">
      <c r="C2844" s="981">
        <v>43302</v>
      </c>
      <c r="D2844" s="980">
        <v>128.09</v>
      </c>
      <c r="E2844" s="895">
        <v>14388</v>
      </c>
      <c r="F2844" s="1253"/>
      <c r="G2844" s="1251"/>
    </row>
    <row r="2845" spans="3:7">
      <c r="C2845" s="981">
        <v>43303</v>
      </c>
      <c r="D2845" s="980">
        <v>128.09</v>
      </c>
      <c r="E2845" s="895">
        <v>14388</v>
      </c>
      <c r="F2845" s="1253"/>
      <c r="G2845" s="1251"/>
    </row>
    <row r="2846" spans="3:7">
      <c r="C2846" s="981">
        <v>43304</v>
      </c>
      <c r="D2846" s="980">
        <v>128.09</v>
      </c>
      <c r="E2846" s="895">
        <v>14388</v>
      </c>
      <c r="F2846" s="1253"/>
      <c r="G2846" s="1251"/>
    </row>
    <row r="2847" spans="3:7">
      <c r="C2847" s="981">
        <v>43305</v>
      </c>
      <c r="D2847" s="980">
        <v>128.09</v>
      </c>
      <c r="E2847" s="895">
        <v>14388</v>
      </c>
      <c r="F2847" s="1253"/>
      <c r="G2847" s="1251"/>
    </row>
    <row r="2848" spans="3:7">
      <c r="C2848" s="981">
        <v>43306</v>
      </c>
      <c r="D2848" s="980">
        <v>129.42</v>
      </c>
      <c r="E2848" s="895">
        <v>14478</v>
      </c>
      <c r="F2848" s="1253"/>
      <c r="G2848" s="1251"/>
    </row>
    <row r="2849" spans="3:7">
      <c r="C2849" s="981">
        <v>43307</v>
      </c>
      <c r="D2849" s="980">
        <v>129.42</v>
      </c>
      <c r="E2849" s="895">
        <v>14478</v>
      </c>
      <c r="F2849" s="1253"/>
      <c r="G2849" s="1251"/>
    </row>
    <row r="2850" spans="3:7">
      <c r="C2850" s="981">
        <v>43308</v>
      </c>
      <c r="D2850" s="980">
        <v>129.42</v>
      </c>
      <c r="E2850" s="895">
        <v>14478</v>
      </c>
      <c r="F2850" s="1253"/>
      <c r="G2850" s="1251"/>
    </row>
    <row r="2851" spans="3:7">
      <c r="C2851" s="981">
        <v>43309</v>
      </c>
      <c r="D2851" s="980">
        <v>129.42</v>
      </c>
      <c r="E2851" s="895">
        <v>14478</v>
      </c>
      <c r="F2851" s="1253"/>
      <c r="G2851" s="1251"/>
    </row>
    <row r="2852" spans="3:7">
      <c r="C2852" s="981">
        <v>43310</v>
      </c>
      <c r="D2852" s="980">
        <v>129.42</v>
      </c>
      <c r="E2852" s="895">
        <v>14478</v>
      </c>
      <c r="F2852" s="1253"/>
      <c r="G2852" s="1251"/>
    </row>
    <row r="2853" spans="3:7">
      <c r="C2853" s="981">
        <v>43311</v>
      </c>
      <c r="D2853" s="980">
        <v>129.42</v>
      </c>
      <c r="E2853" s="895">
        <v>14478</v>
      </c>
      <c r="F2853" s="1253"/>
      <c r="G2853" s="1251"/>
    </row>
    <row r="2854" spans="3:7">
      <c r="C2854" s="981">
        <v>43312</v>
      </c>
      <c r="D2854" s="980">
        <v>129.42</v>
      </c>
      <c r="E2854" s="895">
        <v>14478</v>
      </c>
      <c r="F2854" s="1253"/>
      <c r="G2854" s="1251"/>
    </row>
    <row r="2855" spans="3:7">
      <c r="C2855" s="981">
        <v>43313</v>
      </c>
      <c r="D2855" s="980">
        <v>129.97</v>
      </c>
      <c r="E2855" s="895">
        <v>14436</v>
      </c>
      <c r="F2855" s="1253"/>
      <c r="G2855" s="1251"/>
    </row>
    <row r="2856" spans="3:7">
      <c r="C2856" s="981">
        <v>43314</v>
      </c>
      <c r="D2856" s="980">
        <v>129.97</v>
      </c>
      <c r="E2856" s="895">
        <v>14436</v>
      </c>
      <c r="F2856" s="1253"/>
      <c r="G2856" s="1251"/>
    </row>
    <row r="2857" spans="3:7">
      <c r="C2857" s="981">
        <v>43315</v>
      </c>
      <c r="D2857" s="980">
        <v>129.97</v>
      </c>
      <c r="E2857" s="895">
        <v>14436</v>
      </c>
      <c r="F2857" s="1253"/>
      <c r="G2857" s="1251"/>
    </row>
    <row r="2858" spans="3:7">
      <c r="C2858" s="981">
        <v>43316</v>
      </c>
      <c r="D2858" s="980">
        <v>129.97</v>
      </c>
      <c r="E2858" s="895">
        <v>14436</v>
      </c>
      <c r="F2858" s="1253"/>
      <c r="G2858" s="1251"/>
    </row>
    <row r="2859" spans="3:7">
      <c r="C2859" s="981">
        <v>43317</v>
      </c>
      <c r="D2859" s="980">
        <v>129.97</v>
      </c>
      <c r="E2859" s="895">
        <v>14436</v>
      </c>
      <c r="F2859" s="1253"/>
      <c r="G2859" s="1251"/>
    </row>
    <row r="2860" spans="3:7">
      <c r="C2860" s="981">
        <v>43318</v>
      </c>
      <c r="D2860" s="980">
        <v>129.97</v>
      </c>
      <c r="E2860" s="895">
        <v>14436</v>
      </c>
      <c r="F2860" s="1253"/>
      <c r="G2860" s="1251"/>
    </row>
    <row r="2861" spans="3:7">
      <c r="C2861" s="981">
        <v>43319</v>
      </c>
      <c r="D2861" s="980">
        <v>129.97</v>
      </c>
      <c r="E2861" s="895">
        <v>14436</v>
      </c>
      <c r="F2861" s="1253"/>
      <c r="G2861" s="1251"/>
    </row>
    <row r="2862" spans="3:7">
      <c r="C2862" s="981">
        <v>43320</v>
      </c>
      <c r="D2862" s="980">
        <v>129.86</v>
      </c>
      <c r="E2862" s="895">
        <v>14476</v>
      </c>
      <c r="F2862" s="1253"/>
      <c r="G2862" s="1251"/>
    </row>
    <row r="2863" spans="3:7">
      <c r="C2863" s="981">
        <v>43321</v>
      </c>
      <c r="D2863" s="980">
        <v>129.86</v>
      </c>
      <c r="E2863" s="895">
        <v>14476</v>
      </c>
      <c r="F2863" s="1253"/>
      <c r="G2863" s="1251"/>
    </row>
    <row r="2864" spans="3:7">
      <c r="C2864" s="981">
        <v>43322</v>
      </c>
      <c r="D2864" s="980">
        <v>129.86</v>
      </c>
      <c r="E2864" s="895">
        <v>14476</v>
      </c>
      <c r="F2864" s="1253"/>
      <c r="G2864" s="1251"/>
    </row>
    <row r="2865" spans="3:7">
      <c r="C2865" s="981">
        <v>43323</v>
      </c>
      <c r="D2865" s="980">
        <v>129.86</v>
      </c>
      <c r="E2865" s="895">
        <v>14476</v>
      </c>
      <c r="F2865" s="1253"/>
      <c r="G2865" s="1251"/>
    </row>
    <row r="2866" spans="3:7">
      <c r="C2866" s="981">
        <v>43324</v>
      </c>
      <c r="D2866" s="980">
        <v>129.86</v>
      </c>
      <c r="E2866" s="895">
        <v>14476</v>
      </c>
      <c r="F2866" s="1253"/>
      <c r="G2866" s="1251"/>
    </row>
    <row r="2867" spans="3:7">
      <c r="C2867" s="981">
        <v>43325</v>
      </c>
      <c r="D2867" s="980">
        <v>129.86</v>
      </c>
      <c r="E2867" s="895">
        <v>14476</v>
      </c>
      <c r="F2867" s="1253"/>
      <c r="G2867" s="1251"/>
    </row>
    <row r="2868" spans="3:7">
      <c r="C2868" s="981">
        <v>43326</v>
      </c>
      <c r="D2868" s="980">
        <v>129.86</v>
      </c>
      <c r="E2868" s="895">
        <v>14476</v>
      </c>
      <c r="F2868" s="1253"/>
      <c r="G2868" s="1251"/>
    </row>
    <row r="2869" spans="3:7">
      <c r="C2869" s="981">
        <v>43327</v>
      </c>
      <c r="D2869" s="980">
        <v>130.54</v>
      </c>
      <c r="E2869" s="895">
        <v>14478</v>
      </c>
      <c r="F2869" s="1253"/>
      <c r="G2869" s="1251"/>
    </row>
    <row r="2870" spans="3:7">
      <c r="C2870" s="981">
        <v>43328</v>
      </c>
      <c r="D2870" s="980">
        <v>130.54</v>
      </c>
      <c r="E2870" s="895">
        <v>14478</v>
      </c>
      <c r="F2870" s="1253"/>
      <c r="G2870" s="1251"/>
    </row>
    <row r="2871" spans="3:7">
      <c r="C2871" s="981">
        <v>43329</v>
      </c>
      <c r="D2871" s="980">
        <v>130.54</v>
      </c>
      <c r="E2871" s="895">
        <v>14478</v>
      </c>
      <c r="F2871" s="1253"/>
      <c r="G2871" s="1251"/>
    </row>
    <row r="2872" spans="3:7">
      <c r="C2872" s="981">
        <v>43330</v>
      </c>
      <c r="D2872" s="980">
        <v>130.54</v>
      </c>
      <c r="E2872" s="895">
        <v>14478</v>
      </c>
      <c r="F2872" s="1253"/>
      <c r="G2872" s="1251"/>
    </row>
    <row r="2873" spans="3:7">
      <c r="C2873" s="981">
        <v>43331</v>
      </c>
      <c r="D2873" s="980">
        <v>130.54</v>
      </c>
      <c r="E2873" s="895">
        <v>14478</v>
      </c>
      <c r="F2873" s="1253"/>
      <c r="G2873" s="1251"/>
    </row>
    <row r="2874" spans="3:7">
      <c r="C2874" s="981">
        <v>43332</v>
      </c>
      <c r="D2874" s="980">
        <v>130.54</v>
      </c>
      <c r="E2874" s="895">
        <v>14478</v>
      </c>
      <c r="F2874" s="1253"/>
      <c r="G2874" s="1251"/>
    </row>
    <row r="2875" spans="3:7">
      <c r="C2875" s="981">
        <v>43333</v>
      </c>
      <c r="D2875" s="980">
        <v>130.54</v>
      </c>
      <c r="E2875" s="895">
        <v>14478</v>
      </c>
      <c r="F2875" s="1253"/>
      <c r="G2875" s="1251"/>
    </row>
    <row r="2876" spans="3:7">
      <c r="C2876" s="981">
        <v>43334</v>
      </c>
      <c r="D2876" s="980">
        <v>131.81</v>
      </c>
      <c r="E2876" s="895">
        <v>14599</v>
      </c>
      <c r="F2876" s="1253"/>
      <c r="G2876" s="1251"/>
    </row>
    <row r="2877" spans="3:7">
      <c r="C2877" s="981">
        <v>43335</v>
      </c>
      <c r="D2877" s="980">
        <v>131.81</v>
      </c>
      <c r="E2877" s="895">
        <v>14599</v>
      </c>
      <c r="F2877" s="1253"/>
      <c r="G2877" s="1251"/>
    </row>
    <row r="2878" spans="3:7">
      <c r="C2878" s="981">
        <v>43336</v>
      </c>
      <c r="D2878" s="980">
        <v>131.81</v>
      </c>
      <c r="E2878" s="895">
        <v>14599</v>
      </c>
      <c r="F2878" s="1253"/>
      <c r="G2878" s="1251"/>
    </row>
    <row r="2879" spans="3:7">
      <c r="C2879" s="981">
        <v>43337</v>
      </c>
      <c r="D2879" s="980">
        <v>131.81</v>
      </c>
      <c r="E2879" s="895">
        <v>14599</v>
      </c>
      <c r="F2879" s="1253"/>
      <c r="G2879" s="1251"/>
    </row>
    <row r="2880" spans="3:7">
      <c r="C2880" s="981">
        <v>43338</v>
      </c>
      <c r="D2880" s="980">
        <v>131.81</v>
      </c>
      <c r="E2880" s="895">
        <v>14599</v>
      </c>
      <c r="F2880" s="1253"/>
      <c r="G2880" s="1251"/>
    </row>
    <row r="2881" spans="3:7">
      <c r="C2881" s="981">
        <v>43339</v>
      </c>
      <c r="D2881" s="980">
        <v>131.81</v>
      </c>
      <c r="E2881" s="895">
        <v>14599</v>
      </c>
      <c r="F2881" s="1253"/>
      <c r="G2881" s="1251"/>
    </row>
    <row r="2882" spans="3:7">
      <c r="C2882" s="981">
        <v>43340</v>
      </c>
      <c r="D2882" s="980">
        <v>131.81</v>
      </c>
      <c r="E2882" s="895">
        <v>14599</v>
      </c>
      <c r="F2882" s="1253"/>
      <c r="G2882" s="1251"/>
    </row>
    <row r="2883" spans="3:7">
      <c r="C2883" s="981">
        <v>43341</v>
      </c>
      <c r="D2883" s="980">
        <v>131.7</v>
      </c>
      <c r="E2883" s="895">
        <v>14631</v>
      </c>
      <c r="F2883" s="1253"/>
      <c r="G2883" s="1251"/>
    </row>
    <row r="2884" spans="3:7">
      <c r="C2884" s="981">
        <v>43342</v>
      </c>
      <c r="D2884" s="980">
        <v>131.7</v>
      </c>
      <c r="E2884" s="895">
        <v>14631</v>
      </c>
      <c r="F2884" s="1253"/>
      <c r="G2884" s="1251"/>
    </row>
    <row r="2885" spans="3:7">
      <c r="C2885" s="981">
        <v>43343</v>
      </c>
      <c r="D2885" s="980">
        <v>131.7</v>
      </c>
      <c r="E2885" s="895">
        <v>14631</v>
      </c>
      <c r="F2885" s="1253"/>
      <c r="G2885" s="1251"/>
    </row>
    <row r="2886" spans="3:7">
      <c r="C2886" s="981">
        <v>43344</v>
      </c>
      <c r="D2886" s="980">
        <v>131.7</v>
      </c>
      <c r="E2886" s="895">
        <v>14631</v>
      </c>
      <c r="F2886" s="1253"/>
      <c r="G2886" s="1251"/>
    </row>
    <row r="2887" spans="3:7">
      <c r="C2887" s="981">
        <v>43345</v>
      </c>
      <c r="D2887" s="980">
        <v>131.7</v>
      </c>
      <c r="E2887" s="895">
        <v>14631</v>
      </c>
      <c r="F2887" s="1253"/>
      <c r="G2887" s="1251"/>
    </row>
    <row r="2888" spans="3:7">
      <c r="C2888" s="981">
        <v>43346</v>
      </c>
      <c r="D2888" s="980">
        <v>131.7</v>
      </c>
      <c r="E2888" s="895">
        <v>14631</v>
      </c>
      <c r="F2888" s="1253"/>
      <c r="G2888" s="1251"/>
    </row>
    <row r="2889" spans="3:7">
      <c r="C2889" s="981">
        <v>43347</v>
      </c>
      <c r="D2889" s="980">
        <v>131.7</v>
      </c>
      <c r="E2889" s="895">
        <v>14631</v>
      </c>
      <c r="F2889" s="1253"/>
      <c r="G2889" s="1251"/>
    </row>
    <row r="2890" spans="3:7">
      <c r="C2890" s="981">
        <v>43348</v>
      </c>
      <c r="D2890" s="980">
        <v>132.62</v>
      </c>
      <c r="E2890" s="895">
        <v>14745</v>
      </c>
      <c r="F2890" s="1253"/>
      <c r="G2890" s="1251"/>
    </row>
    <row r="2891" spans="3:7">
      <c r="C2891" s="981">
        <v>43349</v>
      </c>
      <c r="D2891" s="980">
        <v>132.62</v>
      </c>
      <c r="E2891" s="895">
        <v>14745</v>
      </c>
      <c r="F2891" s="1253"/>
      <c r="G2891" s="1251"/>
    </row>
    <row r="2892" spans="3:7">
      <c r="C2892" s="981">
        <v>43350</v>
      </c>
      <c r="D2892" s="980">
        <v>132.62</v>
      </c>
      <c r="E2892" s="895">
        <v>14745</v>
      </c>
      <c r="F2892" s="1253"/>
      <c r="G2892" s="1251"/>
    </row>
    <row r="2893" spans="3:7">
      <c r="C2893" s="981">
        <v>43351</v>
      </c>
      <c r="D2893" s="980">
        <v>132.62</v>
      </c>
      <c r="E2893" s="895">
        <v>14745</v>
      </c>
      <c r="F2893" s="1253"/>
      <c r="G2893" s="1251"/>
    </row>
    <row r="2894" spans="3:7">
      <c r="C2894" s="981">
        <v>43352</v>
      </c>
      <c r="D2894" s="980">
        <v>132.62</v>
      </c>
      <c r="E2894" s="895">
        <v>14745</v>
      </c>
      <c r="F2894" s="1253"/>
      <c r="G2894" s="1251"/>
    </row>
    <row r="2895" spans="3:7">
      <c r="C2895" s="981">
        <v>43353</v>
      </c>
      <c r="D2895" s="980">
        <v>132.62</v>
      </c>
      <c r="E2895" s="895">
        <v>14745</v>
      </c>
      <c r="F2895" s="1253"/>
      <c r="G2895" s="1251"/>
    </row>
    <row r="2896" spans="3:7">
      <c r="C2896" s="981">
        <v>43354</v>
      </c>
      <c r="D2896" s="980">
        <v>132.62</v>
      </c>
      <c r="E2896" s="895">
        <v>14745</v>
      </c>
      <c r="F2896" s="1253"/>
      <c r="G2896" s="1251"/>
    </row>
    <row r="2897" spans="3:7">
      <c r="C2897" s="981">
        <v>43355</v>
      </c>
      <c r="D2897" s="980">
        <v>133.94</v>
      </c>
      <c r="E2897" s="895">
        <v>14885</v>
      </c>
      <c r="F2897" s="1253"/>
      <c r="G2897" s="1251"/>
    </row>
    <row r="2898" spans="3:7">
      <c r="C2898" s="981">
        <v>43356</v>
      </c>
      <c r="D2898" s="980">
        <v>133.94</v>
      </c>
      <c r="E2898" s="895">
        <v>14885</v>
      </c>
      <c r="F2898" s="1253"/>
      <c r="G2898" s="1251"/>
    </row>
    <row r="2899" spans="3:7">
      <c r="C2899" s="981">
        <v>43357</v>
      </c>
      <c r="D2899" s="980">
        <v>133.94</v>
      </c>
      <c r="E2899" s="895">
        <v>14885</v>
      </c>
      <c r="F2899" s="1253"/>
      <c r="G2899" s="1251"/>
    </row>
    <row r="2900" spans="3:7">
      <c r="C2900" s="981">
        <v>43358</v>
      </c>
      <c r="D2900" s="980">
        <v>133.94</v>
      </c>
      <c r="E2900" s="895">
        <v>14885</v>
      </c>
      <c r="F2900" s="1253"/>
      <c r="G2900" s="1251"/>
    </row>
    <row r="2901" spans="3:7">
      <c r="C2901" s="981">
        <v>43359</v>
      </c>
      <c r="D2901" s="980">
        <v>133.94</v>
      </c>
      <c r="E2901" s="895">
        <v>14885</v>
      </c>
      <c r="F2901" s="1253"/>
      <c r="G2901" s="1251"/>
    </row>
    <row r="2902" spans="3:7">
      <c r="C2902" s="981">
        <v>43360</v>
      </c>
      <c r="D2902" s="980">
        <v>133.94</v>
      </c>
      <c r="E2902" s="895">
        <v>14885</v>
      </c>
      <c r="F2902" s="1253"/>
      <c r="G2902" s="1251"/>
    </row>
    <row r="2903" spans="3:7">
      <c r="C2903" s="981">
        <v>43361</v>
      </c>
      <c r="D2903" s="980">
        <v>133.94</v>
      </c>
      <c r="E2903" s="895">
        <v>14885</v>
      </c>
      <c r="F2903" s="1253"/>
      <c r="G2903" s="1251"/>
    </row>
    <row r="2904" spans="3:7">
      <c r="C2904" s="981">
        <v>43362</v>
      </c>
      <c r="D2904" s="980">
        <v>132.88</v>
      </c>
      <c r="E2904" s="895">
        <v>14856</v>
      </c>
      <c r="F2904" s="1253"/>
      <c r="G2904" s="1251"/>
    </row>
    <row r="2905" spans="3:7">
      <c r="C2905" s="981">
        <v>43363</v>
      </c>
      <c r="D2905" s="980">
        <v>132.88</v>
      </c>
      <c r="E2905" s="895">
        <v>14856</v>
      </c>
      <c r="F2905" s="1253"/>
      <c r="G2905" s="1251"/>
    </row>
    <row r="2906" spans="3:7">
      <c r="C2906" s="981">
        <v>43364</v>
      </c>
      <c r="D2906" s="980">
        <v>132.88</v>
      </c>
      <c r="E2906" s="895">
        <v>14856</v>
      </c>
      <c r="F2906" s="1253"/>
      <c r="G2906" s="1251"/>
    </row>
    <row r="2907" spans="3:7">
      <c r="C2907" s="981">
        <v>43365</v>
      </c>
      <c r="D2907" s="980">
        <v>132.88</v>
      </c>
      <c r="E2907" s="895">
        <v>14856</v>
      </c>
      <c r="F2907" s="1253"/>
      <c r="G2907" s="1251"/>
    </row>
    <row r="2908" spans="3:7">
      <c r="C2908" s="981">
        <v>43366</v>
      </c>
      <c r="D2908" s="980">
        <v>132.88</v>
      </c>
      <c r="E2908" s="895">
        <v>14856</v>
      </c>
      <c r="F2908" s="1253"/>
      <c r="G2908" s="1251"/>
    </row>
    <row r="2909" spans="3:7">
      <c r="C2909" s="981">
        <v>43367</v>
      </c>
      <c r="D2909" s="980">
        <v>132.88</v>
      </c>
      <c r="E2909" s="895">
        <v>14856</v>
      </c>
      <c r="F2909" s="1253"/>
      <c r="G2909" s="1251"/>
    </row>
    <row r="2910" spans="3:7">
      <c r="C2910" s="981">
        <v>43368</v>
      </c>
      <c r="D2910" s="980">
        <v>132.88</v>
      </c>
      <c r="E2910" s="895">
        <v>14856</v>
      </c>
      <c r="F2910" s="1253"/>
      <c r="G2910" s="1251"/>
    </row>
    <row r="2911" spans="3:7">
      <c r="C2911" s="981">
        <v>43369</v>
      </c>
      <c r="D2911" s="980">
        <v>132.01</v>
      </c>
      <c r="E2911" s="895">
        <v>14864</v>
      </c>
      <c r="F2911" s="1253"/>
      <c r="G2911" s="1251"/>
    </row>
    <row r="2912" spans="3:7">
      <c r="C2912" s="981">
        <v>43370</v>
      </c>
      <c r="D2912" s="980">
        <v>132.01</v>
      </c>
      <c r="E2912" s="895">
        <v>14864</v>
      </c>
      <c r="F2912" s="1253"/>
      <c r="G2912" s="1251"/>
    </row>
    <row r="2913" spans="3:7">
      <c r="C2913" s="981">
        <v>43371</v>
      </c>
      <c r="D2913" s="980">
        <v>132.01</v>
      </c>
      <c r="E2913" s="895">
        <v>14864</v>
      </c>
      <c r="F2913" s="1253"/>
      <c r="G2913" s="1251"/>
    </row>
    <row r="2914" spans="3:7">
      <c r="C2914" s="981">
        <v>43372</v>
      </c>
      <c r="D2914" s="980">
        <v>132.01</v>
      </c>
      <c r="E2914" s="895">
        <v>14864</v>
      </c>
      <c r="F2914" s="1253"/>
      <c r="G2914" s="1251"/>
    </row>
    <row r="2915" spans="3:7">
      <c r="C2915" s="981">
        <v>43373</v>
      </c>
      <c r="D2915" s="980">
        <v>132.01</v>
      </c>
      <c r="E2915" s="895">
        <v>14864</v>
      </c>
      <c r="F2915" s="1253"/>
      <c r="G2915" s="1251"/>
    </row>
    <row r="2916" spans="3:7">
      <c r="C2916" s="981">
        <v>43374</v>
      </c>
      <c r="D2916" s="980">
        <v>132.01</v>
      </c>
      <c r="E2916" s="895">
        <v>14864</v>
      </c>
      <c r="F2916" s="1253"/>
      <c r="G2916" s="1251"/>
    </row>
    <row r="2917" spans="3:7">
      <c r="C2917" s="981">
        <v>43375</v>
      </c>
      <c r="D2917" s="980">
        <v>132.01</v>
      </c>
      <c r="E2917" s="895">
        <v>14864</v>
      </c>
      <c r="F2917" s="1253"/>
      <c r="G2917" s="1251"/>
    </row>
    <row r="2918" spans="3:7">
      <c r="C2918" s="981">
        <v>43376</v>
      </c>
      <c r="D2918" s="980">
        <v>131.47</v>
      </c>
      <c r="E2918" s="895">
        <v>14928</v>
      </c>
      <c r="F2918" s="1253"/>
      <c r="G2918" s="1251"/>
    </row>
    <row r="2919" spans="3:7">
      <c r="C2919" s="981">
        <v>43377</v>
      </c>
      <c r="D2919" s="980">
        <v>131.47</v>
      </c>
      <c r="E2919" s="895">
        <v>14928</v>
      </c>
      <c r="F2919" s="1253"/>
      <c r="G2919" s="1251"/>
    </row>
    <row r="2920" spans="3:7">
      <c r="C2920" s="981">
        <v>43378</v>
      </c>
      <c r="D2920" s="980">
        <v>131.47</v>
      </c>
      <c r="E2920" s="895">
        <v>14928</v>
      </c>
      <c r="F2920" s="1253"/>
      <c r="G2920" s="1251"/>
    </row>
    <row r="2921" spans="3:7">
      <c r="C2921" s="981">
        <v>43379</v>
      </c>
      <c r="D2921" s="980">
        <v>131.47</v>
      </c>
      <c r="E2921" s="895">
        <v>14928</v>
      </c>
      <c r="F2921" s="1253"/>
      <c r="G2921" s="1251"/>
    </row>
    <row r="2922" spans="3:7">
      <c r="C2922" s="981">
        <v>43380</v>
      </c>
      <c r="D2922" s="980">
        <v>131.47</v>
      </c>
      <c r="E2922" s="895">
        <v>14928</v>
      </c>
      <c r="F2922" s="1253"/>
      <c r="G2922" s="1251"/>
    </row>
    <row r="2923" spans="3:7">
      <c r="C2923" s="981">
        <v>43381</v>
      </c>
      <c r="D2923" s="980">
        <v>131.47</v>
      </c>
      <c r="E2923" s="895">
        <v>14928</v>
      </c>
      <c r="F2923" s="1253"/>
      <c r="G2923" s="1251"/>
    </row>
    <row r="2924" spans="3:7">
      <c r="C2924" s="981">
        <v>43382</v>
      </c>
      <c r="D2924" s="980">
        <v>131.47</v>
      </c>
      <c r="E2924" s="895">
        <v>14928</v>
      </c>
      <c r="F2924" s="1253"/>
      <c r="G2924" s="1251"/>
    </row>
    <row r="2925" spans="3:7">
      <c r="C2925" s="981">
        <v>43383</v>
      </c>
      <c r="D2925" s="980">
        <v>132.25</v>
      </c>
      <c r="E2925" s="895">
        <v>15076</v>
      </c>
      <c r="F2925" s="1253"/>
      <c r="G2925" s="1251"/>
    </row>
    <row r="2926" spans="3:7">
      <c r="C2926" s="981">
        <v>43384</v>
      </c>
      <c r="D2926" s="980">
        <v>132.25</v>
      </c>
      <c r="E2926" s="895">
        <v>15076</v>
      </c>
      <c r="F2926" s="1253"/>
      <c r="G2926" s="1251"/>
    </row>
    <row r="2927" spans="3:7">
      <c r="C2927" s="981">
        <v>43385</v>
      </c>
      <c r="D2927" s="980">
        <v>132.25</v>
      </c>
      <c r="E2927" s="895">
        <v>15076</v>
      </c>
      <c r="F2927" s="1253"/>
      <c r="G2927" s="1251"/>
    </row>
    <row r="2928" spans="3:7">
      <c r="C2928" s="981">
        <v>43386</v>
      </c>
      <c r="D2928" s="980">
        <v>132.25</v>
      </c>
      <c r="E2928" s="895">
        <v>15076</v>
      </c>
      <c r="F2928" s="1253"/>
      <c r="G2928" s="1251"/>
    </row>
    <row r="2929" spans="3:7">
      <c r="C2929" s="981">
        <v>43387</v>
      </c>
      <c r="D2929" s="980">
        <v>132.25</v>
      </c>
      <c r="E2929" s="895">
        <v>15076</v>
      </c>
      <c r="F2929" s="1253"/>
      <c r="G2929" s="1251"/>
    </row>
    <row r="2930" spans="3:7">
      <c r="C2930" s="981">
        <v>43388</v>
      </c>
      <c r="D2930" s="980">
        <v>132.25</v>
      </c>
      <c r="E2930" s="895">
        <v>15076</v>
      </c>
      <c r="F2930" s="1253"/>
      <c r="G2930" s="1251"/>
    </row>
    <row r="2931" spans="3:7">
      <c r="C2931" s="981">
        <v>43389</v>
      </c>
      <c r="D2931" s="980">
        <v>132.25</v>
      </c>
      <c r="E2931" s="895">
        <v>15076</v>
      </c>
      <c r="F2931" s="1253"/>
      <c r="G2931" s="1251"/>
    </row>
    <row r="2932" spans="3:7">
      <c r="C2932" s="981">
        <v>43390</v>
      </c>
      <c r="D2932" s="980">
        <v>135.74</v>
      </c>
      <c r="E2932" s="895">
        <v>15215</v>
      </c>
      <c r="F2932" s="1253"/>
      <c r="G2932" s="1251"/>
    </row>
    <row r="2933" spans="3:7">
      <c r="C2933" s="981">
        <v>43391</v>
      </c>
      <c r="D2933" s="980">
        <v>135.74</v>
      </c>
      <c r="E2933" s="895">
        <v>15215</v>
      </c>
      <c r="F2933" s="1253"/>
      <c r="G2933" s="1251"/>
    </row>
    <row r="2934" spans="3:7">
      <c r="C2934" s="981">
        <v>43392</v>
      </c>
      <c r="D2934" s="980">
        <v>135.74</v>
      </c>
      <c r="E2934" s="895">
        <v>15215</v>
      </c>
      <c r="F2934" s="1253"/>
      <c r="G2934" s="1251"/>
    </row>
    <row r="2935" spans="3:7">
      <c r="C2935" s="981">
        <v>43393</v>
      </c>
      <c r="D2935" s="980">
        <v>135.74</v>
      </c>
      <c r="E2935" s="895">
        <v>15215</v>
      </c>
      <c r="F2935" s="1253"/>
      <c r="G2935" s="1251"/>
    </row>
    <row r="2936" spans="3:7">
      <c r="C2936" s="981">
        <v>43394</v>
      </c>
      <c r="D2936" s="980">
        <v>135.74</v>
      </c>
      <c r="E2936" s="895">
        <v>15215</v>
      </c>
      <c r="F2936" s="1253"/>
      <c r="G2936" s="1251"/>
    </row>
    <row r="2937" spans="3:7">
      <c r="C2937" s="981">
        <v>43395</v>
      </c>
      <c r="D2937" s="980">
        <v>135.74</v>
      </c>
      <c r="E2937" s="895">
        <v>15215</v>
      </c>
      <c r="F2937" s="1253"/>
      <c r="G2937" s="1251"/>
    </row>
    <row r="2938" spans="3:7">
      <c r="C2938" s="981">
        <v>43396</v>
      </c>
      <c r="D2938" s="980">
        <v>135.74</v>
      </c>
      <c r="E2938" s="895">
        <v>15215</v>
      </c>
      <c r="F2938" s="1253"/>
      <c r="G2938" s="1251"/>
    </row>
    <row r="2939" spans="3:7">
      <c r="C2939" s="981">
        <v>43397</v>
      </c>
      <c r="D2939" s="980">
        <v>134.92</v>
      </c>
      <c r="E2939" s="895">
        <v>15187</v>
      </c>
      <c r="F2939" s="1253"/>
      <c r="G2939" s="1251"/>
    </row>
    <row r="2940" spans="3:7">
      <c r="C2940" s="981">
        <v>43398</v>
      </c>
      <c r="D2940" s="980">
        <v>134.92</v>
      </c>
      <c r="E2940" s="895">
        <v>15187</v>
      </c>
      <c r="F2940" s="1253"/>
      <c r="G2940" s="1251"/>
    </row>
    <row r="2941" spans="3:7">
      <c r="C2941" s="981">
        <v>43399</v>
      </c>
      <c r="D2941" s="980">
        <v>134.92</v>
      </c>
      <c r="E2941" s="895">
        <v>15187</v>
      </c>
      <c r="F2941" s="1253"/>
      <c r="G2941" s="1251"/>
    </row>
    <row r="2942" spans="3:7">
      <c r="C2942" s="981">
        <v>43400</v>
      </c>
      <c r="D2942" s="980">
        <v>134.92</v>
      </c>
      <c r="E2942" s="895">
        <v>15187</v>
      </c>
      <c r="F2942" s="1253"/>
      <c r="G2942" s="1251"/>
    </row>
    <row r="2943" spans="3:7">
      <c r="C2943" s="981">
        <v>43401</v>
      </c>
      <c r="D2943" s="980">
        <v>134.92</v>
      </c>
      <c r="E2943" s="895">
        <v>15187</v>
      </c>
      <c r="F2943" s="1253"/>
      <c r="G2943" s="1251"/>
    </row>
    <row r="2944" spans="3:7">
      <c r="C2944" s="981">
        <v>43402</v>
      </c>
      <c r="D2944" s="980">
        <v>134.92</v>
      </c>
      <c r="E2944" s="895">
        <v>15187</v>
      </c>
      <c r="F2944" s="1253"/>
      <c r="G2944" s="1251"/>
    </row>
    <row r="2945" spans="3:7">
      <c r="C2945" s="981">
        <v>43403</v>
      </c>
      <c r="D2945" s="980">
        <v>134.92</v>
      </c>
      <c r="E2945" s="895">
        <v>15187</v>
      </c>
      <c r="F2945" s="1253"/>
      <c r="G2945" s="1251"/>
    </row>
    <row r="2946" spans="3:7">
      <c r="C2946" s="981">
        <v>43404</v>
      </c>
      <c r="D2946" s="980">
        <v>135.45</v>
      </c>
      <c r="E2946" s="895">
        <v>15213</v>
      </c>
      <c r="F2946" s="1253"/>
      <c r="G2946" s="1251"/>
    </row>
    <row r="2947" spans="3:7">
      <c r="C2947" s="981">
        <v>43405</v>
      </c>
      <c r="D2947" s="980">
        <v>135.45</v>
      </c>
      <c r="E2947" s="895">
        <v>15213</v>
      </c>
      <c r="F2947" s="1253"/>
      <c r="G2947" s="1251"/>
    </row>
    <row r="2948" spans="3:7">
      <c r="C2948" s="981">
        <v>43406</v>
      </c>
      <c r="D2948" s="980">
        <v>135.45</v>
      </c>
      <c r="E2948" s="895">
        <v>15213</v>
      </c>
      <c r="F2948" s="1253"/>
      <c r="G2948" s="1251"/>
    </row>
    <row r="2949" spans="3:7">
      <c r="C2949" s="981">
        <v>43407</v>
      </c>
      <c r="D2949" s="980">
        <v>135.45</v>
      </c>
      <c r="E2949" s="895">
        <v>15213</v>
      </c>
      <c r="F2949" s="1253"/>
      <c r="G2949" s="1251"/>
    </row>
    <row r="2950" spans="3:7">
      <c r="C2950" s="981">
        <v>43408</v>
      </c>
      <c r="D2950" s="980">
        <v>135.45</v>
      </c>
      <c r="E2950" s="895">
        <v>15213</v>
      </c>
      <c r="F2950" s="1253"/>
      <c r="G2950" s="1251"/>
    </row>
    <row r="2951" spans="3:7">
      <c r="C2951" s="981">
        <v>43409</v>
      </c>
      <c r="D2951" s="980">
        <v>135.45</v>
      </c>
      <c r="E2951" s="895">
        <v>15213</v>
      </c>
      <c r="F2951" s="1253"/>
      <c r="G2951" s="1251"/>
    </row>
    <row r="2952" spans="3:7">
      <c r="C2952" s="981">
        <v>43410</v>
      </c>
      <c r="D2952" s="980">
        <v>135.45</v>
      </c>
      <c r="E2952" s="895">
        <v>15213</v>
      </c>
      <c r="F2952" s="1253"/>
      <c r="G2952" s="1251"/>
    </row>
    <row r="2953" spans="3:7">
      <c r="C2953" s="981">
        <v>43411</v>
      </c>
      <c r="D2953" s="980">
        <v>132.89</v>
      </c>
      <c r="E2953" s="895">
        <v>15026</v>
      </c>
      <c r="F2953" s="1253"/>
      <c r="G2953" s="1251"/>
    </row>
    <row r="2954" spans="3:7">
      <c r="C2954" s="981">
        <v>43412</v>
      </c>
      <c r="D2954" s="980">
        <v>132.89</v>
      </c>
      <c r="E2954" s="895">
        <v>15026</v>
      </c>
      <c r="F2954" s="1253"/>
      <c r="G2954" s="1251"/>
    </row>
    <row r="2955" spans="3:7">
      <c r="C2955" s="981">
        <v>43413</v>
      </c>
      <c r="D2955" s="980">
        <v>132.89</v>
      </c>
      <c r="E2955" s="895">
        <v>15026</v>
      </c>
      <c r="F2955" s="1253"/>
      <c r="G2955" s="1251"/>
    </row>
    <row r="2956" spans="3:7">
      <c r="C2956" s="981">
        <v>43414</v>
      </c>
      <c r="D2956" s="980">
        <v>132.89</v>
      </c>
      <c r="E2956" s="895">
        <v>15026</v>
      </c>
      <c r="F2956" s="1253"/>
      <c r="G2956" s="1251"/>
    </row>
    <row r="2957" spans="3:7">
      <c r="C2957" s="981">
        <v>43415</v>
      </c>
      <c r="D2957" s="980">
        <v>132.89</v>
      </c>
      <c r="E2957" s="895">
        <v>15026</v>
      </c>
      <c r="F2957" s="1253"/>
      <c r="G2957" s="1251"/>
    </row>
    <row r="2958" spans="3:7">
      <c r="C2958" s="981">
        <v>43416</v>
      </c>
      <c r="D2958" s="980">
        <v>132.89</v>
      </c>
      <c r="E2958" s="895">
        <v>15026</v>
      </c>
      <c r="F2958" s="1253"/>
      <c r="G2958" s="1251"/>
    </row>
    <row r="2959" spans="3:7">
      <c r="C2959" s="981">
        <v>43417</v>
      </c>
      <c r="D2959" s="980">
        <v>132.89</v>
      </c>
      <c r="E2959" s="895">
        <v>15026</v>
      </c>
      <c r="F2959" s="1253"/>
      <c r="G2959" s="1251"/>
    </row>
    <row r="2960" spans="3:7">
      <c r="C2960" s="981">
        <v>43418</v>
      </c>
      <c r="D2960" s="980">
        <v>129.13</v>
      </c>
      <c r="E2960" s="895">
        <v>14702</v>
      </c>
      <c r="F2960" s="1253"/>
      <c r="G2960" s="1251"/>
    </row>
    <row r="2961" spans="3:7">
      <c r="C2961" s="981">
        <v>43419</v>
      </c>
      <c r="D2961" s="980">
        <v>129.13</v>
      </c>
      <c r="E2961" s="895">
        <v>14702</v>
      </c>
      <c r="F2961" s="1253"/>
      <c r="G2961" s="1251"/>
    </row>
    <row r="2962" spans="3:7">
      <c r="C2962" s="981">
        <v>43420</v>
      </c>
      <c r="D2962" s="980">
        <v>129.13</v>
      </c>
      <c r="E2962" s="895">
        <v>14702</v>
      </c>
      <c r="F2962" s="1253"/>
      <c r="G2962" s="1251"/>
    </row>
    <row r="2963" spans="3:7">
      <c r="C2963" s="981">
        <v>43421</v>
      </c>
      <c r="D2963" s="980">
        <v>129.13</v>
      </c>
      <c r="E2963" s="895">
        <v>14702</v>
      </c>
      <c r="F2963" s="1253"/>
      <c r="G2963" s="1251"/>
    </row>
    <row r="2964" spans="3:7">
      <c r="C2964" s="981">
        <v>43422</v>
      </c>
      <c r="D2964" s="980">
        <v>129.13</v>
      </c>
      <c r="E2964" s="895">
        <v>14702</v>
      </c>
      <c r="F2964" s="1253"/>
      <c r="G2964" s="1251"/>
    </row>
    <row r="2965" spans="3:7">
      <c r="C2965" s="981">
        <v>43423</v>
      </c>
      <c r="D2965" s="980">
        <v>129.13</v>
      </c>
      <c r="E2965" s="895">
        <v>14702</v>
      </c>
      <c r="F2965" s="1253"/>
      <c r="G2965" s="1251"/>
    </row>
    <row r="2966" spans="3:7">
      <c r="C2966" s="981">
        <v>43424</v>
      </c>
      <c r="D2966" s="980">
        <v>129.13</v>
      </c>
      <c r="E2966" s="895">
        <v>14702</v>
      </c>
      <c r="F2966" s="1253"/>
      <c r="G2966" s="1251"/>
    </row>
    <row r="2967" spans="3:7">
      <c r="C2967" s="981">
        <v>43425</v>
      </c>
      <c r="D2967" s="980">
        <v>129.62</v>
      </c>
      <c r="E2967" s="895">
        <v>14688</v>
      </c>
      <c r="F2967" s="1253"/>
      <c r="G2967" s="1251"/>
    </row>
    <row r="2968" spans="3:7">
      <c r="C2968" s="981">
        <v>43426</v>
      </c>
      <c r="D2968" s="980">
        <v>129.62</v>
      </c>
      <c r="E2968" s="895">
        <v>14688</v>
      </c>
      <c r="F2968" s="1253"/>
      <c r="G2968" s="1251"/>
    </row>
    <row r="2969" spans="3:7">
      <c r="C2969" s="981">
        <v>43427</v>
      </c>
      <c r="D2969" s="980">
        <v>129.62</v>
      </c>
      <c r="E2969" s="895">
        <v>14688</v>
      </c>
      <c r="F2969" s="1253"/>
      <c r="G2969" s="1251"/>
    </row>
    <row r="2970" spans="3:7">
      <c r="C2970" s="981">
        <v>43428</v>
      </c>
      <c r="D2970" s="980">
        <v>129.62</v>
      </c>
      <c r="E2970" s="895">
        <v>14688</v>
      </c>
      <c r="F2970" s="1253"/>
      <c r="G2970" s="1251"/>
    </row>
    <row r="2971" spans="3:7">
      <c r="C2971" s="981">
        <v>43429</v>
      </c>
      <c r="D2971" s="980">
        <v>129.62</v>
      </c>
      <c r="E2971" s="895">
        <v>14688</v>
      </c>
      <c r="F2971" s="1253"/>
      <c r="G2971" s="1251"/>
    </row>
    <row r="2972" spans="3:7">
      <c r="C2972" s="981">
        <v>43430</v>
      </c>
      <c r="D2972" s="980">
        <v>129.62</v>
      </c>
      <c r="E2972" s="895">
        <v>14688</v>
      </c>
      <c r="F2972" s="1253"/>
      <c r="G2972" s="1251"/>
    </row>
    <row r="2973" spans="3:7">
      <c r="C2973" s="981">
        <v>43431</v>
      </c>
      <c r="D2973" s="980">
        <v>129.62</v>
      </c>
      <c r="E2973" s="895">
        <v>14688</v>
      </c>
      <c r="F2973" s="1253"/>
      <c r="G2973" s="1251"/>
    </row>
    <row r="2974" spans="3:7">
      <c r="C2974" s="981">
        <v>43432</v>
      </c>
      <c r="D2974" s="980">
        <v>128.43</v>
      </c>
      <c r="E2974" s="895">
        <v>14540</v>
      </c>
      <c r="F2974" s="1253"/>
      <c r="G2974" s="1251"/>
    </row>
    <row r="2975" spans="3:7">
      <c r="C2975" s="981">
        <v>43433</v>
      </c>
      <c r="D2975" s="980">
        <v>128.43</v>
      </c>
      <c r="E2975" s="895">
        <v>14540</v>
      </c>
      <c r="F2975" s="1253"/>
      <c r="G2975" s="1251"/>
    </row>
    <row r="2976" spans="3:7">
      <c r="C2976" s="981">
        <v>43434</v>
      </c>
      <c r="D2976" s="980">
        <v>128.43</v>
      </c>
      <c r="E2976" s="895">
        <v>14540</v>
      </c>
      <c r="F2976" s="1253"/>
      <c r="G2976" s="1251"/>
    </row>
    <row r="2977" spans="3:7">
      <c r="C2977" s="981">
        <v>43435</v>
      </c>
      <c r="D2977" s="980">
        <v>128.43</v>
      </c>
      <c r="E2977" s="895">
        <v>14540</v>
      </c>
      <c r="F2977" s="1253"/>
      <c r="G2977" s="1251"/>
    </row>
    <row r="2978" spans="3:7">
      <c r="C2978" s="981">
        <v>43436</v>
      </c>
      <c r="D2978" s="980">
        <v>128.43</v>
      </c>
      <c r="E2978" s="895">
        <v>14540</v>
      </c>
      <c r="F2978" s="1253"/>
      <c r="G2978" s="1251"/>
    </row>
    <row r="2979" spans="3:7">
      <c r="C2979" s="981">
        <v>43437</v>
      </c>
      <c r="D2979" s="980">
        <v>128.43</v>
      </c>
      <c r="E2979" s="895">
        <v>14540</v>
      </c>
      <c r="F2979" s="1253"/>
      <c r="G2979" s="1251"/>
    </row>
    <row r="2980" spans="3:7">
      <c r="C2980" s="981">
        <v>43438</v>
      </c>
      <c r="D2980" s="980">
        <v>128.43</v>
      </c>
      <c r="E2980" s="895">
        <v>14540</v>
      </c>
      <c r="F2980" s="1253"/>
      <c r="G2980" s="1251"/>
    </row>
    <row r="2981" spans="3:7">
      <c r="C2981" s="981">
        <v>43439</v>
      </c>
      <c r="D2981" s="980">
        <v>126.74</v>
      </c>
      <c r="E2981" s="895">
        <v>14396</v>
      </c>
      <c r="F2981" s="1253"/>
      <c r="G2981" s="1251"/>
    </row>
    <row r="2982" spans="3:7">
      <c r="C2982" s="981">
        <v>43440</v>
      </c>
      <c r="D2982" s="980">
        <v>126.74</v>
      </c>
      <c r="E2982" s="895">
        <v>14396</v>
      </c>
      <c r="F2982" s="1253"/>
      <c r="G2982" s="1251"/>
    </row>
    <row r="2983" spans="3:7">
      <c r="C2983" s="981">
        <v>43441</v>
      </c>
      <c r="D2983" s="980">
        <v>126.74</v>
      </c>
      <c r="E2983" s="895">
        <v>14396</v>
      </c>
      <c r="F2983" s="1253"/>
      <c r="G2983" s="1251"/>
    </row>
    <row r="2984" spans="3:7">
      <c r="C2984" s="981">
        <v>43442</v>
      </c>
      <c r="D2984" s="980">
        <v>126.74</v>
      </c>
      <c r="E2984" s="895">
        <v>14396</v>
      </c>
      <c r="F2984" s="1253"/>
      <c r="G2984" s="1251"/>
    </row>
    <row r="2985" spans="3:7">
      <c r="C2985" s="981">
        <v>43443</v>
      </c>
      <c r="D2985" s="980">
        <v>126.74</v>
      </c>
      <c r="E2985" s="895">
        <v>14396</v>
      </c>
      <c r="F2985" s="1253"/>
      <c r="G2985" s="1251"/>
    </row>
    <row r="2986" spans="3:7">
      <c r="C2986" s="981">
        <v>43444</v>
      </c>
      <c r="D2986" s="980">
        <v>126.74</v>
      </c>
      <c r="E2986" s="895">
        <v>14396</v>
      </c>
      <c r="F2986" s="1253"/>
      <c r="G2986" s="1251"/>
    </row>
    <row r="2987" spans="3:7">
      <c r="C2987" s="981">
        <v>43445</v>
      </c>
      <c r="D2987" s="980">
        <v>126.74</v>
      </c>
      <c r="E2987" s="895">
        <v>14396</v>
      </c>
      <c r="F2987" s="1253"/>
      <c r="G2987" s="1251"/>
    </row>
    <row r="2988" spans="3:7">
      <c r="C2988" s="981">
        <v>43446</v>
      </c>
      <c r="D2988" s="980">
        <v>128.09</v>
      </c>
      <c r="E2988" s="895">
        <v>14447</v>
      </c>
      <c r="F2988" s="1253"/>
      <c r="G2988" s="1251"/>
    </row>
    <row r="2989" spans="3:7">
      <c r="C2989" s="981">
        <v>43447</v>
      </c>
      <c r="D2989" s="980">
        <v>128.09</v>
      </c>
      <c r="E2989" s="895">
        <v>14447</v>
      </c>
      <c r="F2989" s="1253"/>
      <c r="G2989" s="1251"/>
    </row>
    <row r="2990" spans="3:7">
      <c r="C2990" s="981">
        <v>43448</v>
      </c>
      <c r="D2990" s="980">
        <v>128.09</v>
      </c>
      <c r="E2990" s="895">
        <v>14447</v>
      </c>
      <c r="F2990" s="1253"/>
      <c r="G2990" s="1251"/>
    </row>
    <row r="2991" spans="3:7">
      <c r="C2991" s="981">
        <v>43449</v>
      </c>
      <c r="D2991" s="980">
        <v>128.09</v>
      </c>
      <c r="E2991" s="895">
        <v>14447</v>
      </c>
      <c r="F2991" s="1253"/>
      <c r="G2991" s="1251"/>
    </row>
    <row r="2992" spans="3:7">
      <c r="C2992" s="981">
        <v>43450</v>
      </c>
      <c r="D2992" s="980">
        <v>128.09</v>
      </c>
      <c r="E2992" s="895">
        <v>14447</v>
      </c>
      <c r="F2992" s="1253"/>
      <c r="G2992" s="1251"/>
    </row>
    <row r="2993" spans="3:7">
      <c r="C2993" s="981">
        <v>43451</v>
      </c>
      <c r="D2993" s="980">
        <v>128.09</v>
      </c>
      <c r="E2993" s="895">
        <v>14447</v>
      </c>
      <c r="F2993" s="1253"/>
      <c r="G2993" s="1251"/>
    </row>
    <row r="2994" spans="3:7">
      <c r="C2994" s="981">
        <v>43452</v>
      </c>
      <c r="D2994" s="980">
        <v>128.09</v>
      </c>
      <c r="E2994" s="895">
        <v>14447</v>
      </c>
      <c r="F2994" s="1253"/>
      <c r="G2994" s="1251"/>
    </row>
    <row r="2995" spans="3:7">
      <c r="C2995" s="981">
        <v>43453</v>
      </c>
      <c r="D2995" s="980">
        <v>128.54</v>
      </c>
      <c r="E2995" s="895">
        <v>14581</v>
      </c>
      <c r="F2995" s="1253"/>
      <c r="G2995" s="1251"/>
    </row>
    <row r="2996" spans="3:7">
      <c r="C2996" s="981">
        <v>43454</v>
      </c>
      <c r="D2996" s="980">
        <v>128.54</v>
      </c>
      <c r="E2996" s="895">
        <v>14581</v>
      </c>
      <c r="F2996" s="1253"/>
      <c r="G2996" s="1251"/>
    </row>
    <row r="2997" spans="3:7">
      <c r="C2997" s="981">
        <v>43455</v>
      </c>
      <c r="D2997" s="980">
        <v>128.54</v>
      </c>
      <c r="E2997" s="895">
        <v>14581</v>
      </c>
      <c r="F2997" s="1253"/>
      <c r="G2997" s="1251"/>
    </row>
    <row r="2998" spans="3:7">
      <c r="C2998" s="981">
        <v>43456</v>
      </c>
      <c r="D2998" s="980">
        <v>128.54</v>
      </c>
      <c r="E2998" s="895">
        <v>14581</v>
      </c>
      <c r="F2998" s="1253"/>
      <c r="G2998" s="1251"/>
    </row>
    <row r="2999" spans="3:7">
      <c r="C2999" s="981">
        <v>43457</v>
      </c>
      <c r="D2999" s="980">
        <v>128.54</v>
      </c>
      <c r="E2999" s="895">
        <v>14581</v>
      </c>
      <c r="F2999" s="1253"/>
      <c r="G2999" s="1251"/>
    </row>
    <row r="3000" spans="3:7">
      <c r="C3000" s="981">
        <v>43458</v>
      </c>
      <c r="D3000" s="980">
        <v>128.54</v>
      </c>
      <c r="E3000" s="895">
        <v>14581</v>
      </c>
      <c r="F3000" s="1253"/>
      <c r="G3000" s="1251"/>
    </row>
    <row r="3001" spans="3:7">
      <c r="C3001" s="981">
        <v>43459</v>
      </c>
      <c r="D3001" s="980">
        <v>128.54</v>
      </c>
      <c r="E3001" s="895">
        <v>14581</v>
      </c>
      <c r="F3001" s="1253"/>
      <c r="G3001" s="1251"/>
    </row>
    <row r="3002" spans="3:7">
      <c r="C3002" s="981">
        <v>43460</v>
      </c>
      <c r="D3002" s="980">
        <v>128.56</v>
      </c>
      <c r="E3002" s="895">
        <v>14500</v>
      </c>
      <c r="F3002" s="1253"/>
      <c r="G3002" s="1251"/>
    </row>
    <row r="3003" spans="3:7">
      <c r="C3003" s="981">
        <v>43461</v>
      </c>
      <c r="D3003" s="980">
        <v>128.56</v>
      </c>
      <c r="E3003" s="895">
        <v>14500</v>
      </c>
      <c r="F3003" s="1253"/>
      <c r="G3003" s="1251"/>
    </row>
    <row r="3004" spans="3:7">
      <c r="C3004" s="981">
        <v>43462</v>
      </c>
      <c r="D3004" s="980">
        <v>128.56</v>
      </c>
      <c r="E3004" s="895">
        <v>14500</v>
      </c>
      <c r="F3004" s="1253"/>
      <c r="G3004" s="1251"/>
    </row>
    <row r="3005" spans="3:7">
      <c r="C3005" s="981">
        <v>43463</v>
      </c>
      <c r="D3005" s="980">
        <v>128.56</v>
      </c>
      <c r="E3005" s="895">
        <v>14500</v>
      </c>
      <c r="F3005" s="1253"/>
      <c r="G3005" s="1251"/>
    </row>
    <row r="3006" spans="3:7">
      <c r="C3006" s="981">
        <v>43464</v>
      </c>
      <c r="D3006" s="980">
        <v>128.56</v>
      </c>
      <c r="E3006" s="895">
        <v>14500</v>
      </c>
      <c r="F3006" s="1253"/>
      <c r="G3006" s="1251"/>
    </row>
    <row r="3007" spans="3:7">
      <c r="C3007" s="981">
        <v>43465</v>
      </c>
      <c r="D3007" s="980">
        <v>128.56</v>
      </c>
      <c r="E3007" s="895">
        <v>14500</v>
      </c>
      <c r="F3007" s="1253"/>
      <c r="G3007" s="1251"/>
    </row>
    <row r="3008" spans="2:7">
      <c r="B3008" s="1247" t="s">
        <v>516</v>
      </c>
      <c r="C3008" s="976"/>
      <c r="D3008" s="980"/>
      <c r="E3008" s="895"/>
      <c r="F3008" s="1253"/>
      <c r="G3008" s="1251"/>
    </row>
    <row r="3009" spans="3:7">
      <c r="C3009" s="976" t="s">
        <v>564</v>
      </c>
      <c r="D3009" s="980">
        <v>107.81</v>
      </c>
      <c r="E3009" s="895">
        <v>9721.67</v>
      </c>
      <c r="F3009" s="1253"/>
      <c r="G3009" s="1251"/>
    </row>
    <row r="3010" spans="3:7">
      <c r="C3010" s="976" t="s">
        <v>565</v>
      </c>
      <c r="D3010" s="980">
        <v>106.27</v>
      </c>
      <c r="E3010" s="895">
        <v>9717.54</v>
      </c>
      <c r="F3010" s="1253"/>
      <c r="G3010" s="1251"/>
    </row>
    <row r="3011" spans="3:7">
      <c r="C3011" s="976" t="s">
        <v>566</v>
      </c>
      <c r="D3011" s="980">
        <v>104.92</v>
      </c>
      <c r="E3011" s="895">
        <v>9719.65</v>
      </c>
      <c r="F3011" s="1253"/>
      <c r="G3011" s="1251"/>
    </row>
    <row r="3012" spans="3:7">
      <c r="C3012" s="976" t="s">
        <v>567</v>
      </c>
      <c r="D3012" s="980">
        <v>103.14</v>
      </c>
      <c r="E3012" s="895">
        <v>9725.5</v>
      </c>
      <c r="F3012" s="1253"/>
      <c r="G3012" s="1251"/>
    </row>
    <row r="3013" spans="3:7">
      <c r="C3013" s="976" t="s">
        <v>568</v>
      </c>
      <c r="D3013" s="980">
        <v>102.8</v>
      </c>
      <c r="E3013" s="895">
        <v>9750.27</v>
      </c>
      <c r="F3013" s="1253"/>
      <c r="G3013" s="1251"/>
    </row>
    <row r="3014" spans="3:7">
      <c r="C3014" s="976" t="s">
        <v>569</v>
      </c>
      <c r="D3014" s="980">
        <v>102.51</v>
      </c>
      <c r="E3014" s="895">
        <v>9799.68</v>
      </c>
      <c r="F3014" s="1253"/>
      <c r="G3014" s="1251"/>
    </row>
    <row r="3015" spans="3:7">
      <c r="C3015" s="976" t="s">
        <v>570</v>
      </c>
      <c r="D3015" s="980">
        <v>102.97</v>
      </c>
      <c r="E3015" s="977">
        <v>9867.37</v>
      </c>
      <c r="F3015" s="1253"/>
      <c r="G3015" s="1251"/>
    </row>
    <row r="3016" spans="3:7">
      <c r="C3016" s="976" t="s">
        <v>571</v>
      </c>
      <c r="D3016" s="980">
        <v>104.11</v>
      </c>
      <c r="E3016" s="977">
        <v>10053.22</v>
      </c>
      <c r="F3016" s="1253"/>
      <c r="G3016" s="1251"/>
    </row>
    <row r="3017" spans="3:7">
      <c r="C3017" s="976" t="s">
        <v>572</v>
      </c>
      <c r="D3017" s="980">
        <v>105.12</v>
      </c>
      <c r="E3017" s="977">
        <v>10253.01</v>
      </c>
      <c r="F3017" s="1253"/>
      <c r="G3017" s="1251"/>
    </row>
    <row r="3018" spans="3:7">
      <c r="C3018" s="976" t="s">
        <v>573</v>
      </c>
      <c r="D3018" s="980">
        <v>106</v>
      </c>
      <c r="E3018" s="977">
        <v>10442.05</v>
      </c>
      <c r="F3018" s="1253"/>
      <c r="G3018" s="1251"/>
    </row>
    <row r="3019" spans="3:7">
      <c r="C3019" s="976" t="s">
        <v>621</v>
      </c>
      <c r="D3019" s="980">
        <v>106.87</v>
      </c>
      <c r="E3019" s="977">
        <v>10384.86</v>
      </c>
      <c r="F3019" s="1253"/>
      <c r="G3019" s="1251"/>
    </row>
    <row r="3020" spans="3:7">
      <c r="C3020" s="976" t="s">
        <v>574</v>
      </c>
      <c r="D3020" s="980">
        <v>106.44</v>
      </c>
      <c r="E3020" s="977">
        <v>10455.2</v>
      </c>
      <c r="F3020" s="1253"/>
      <c r="G3020" s="1251"/>
    </row>
    <row r="3021" spans="3:7">
      <c r="C3021" s="976" t="s">
        <v>575</v>
      </c>
      <c r="D3021" s="980">
        <v>106.66</v>
      </c>
      <c r="E3021" s="977">
        <v>10530.44</v>
      </c>
      <c r="F3021" s="1253"/>
      <c r="G3021" s="1251"/>
    </row>
    <row r="3022" spans="3:7">
      <c r="C3022" s="976" t="s">
        <v>576</v>
      </c>
      <c r="D3022" s="980">
        <v>107.08</v>
      </c>
      <c r="E3022" s="977">
        <v>10619.32</v>
      </c>
      <c r="F3022" s="1253"/>
      <c r="G3022" s="1251"/>
    </row>
    <row r="3023" spans="3:7">
      <c r="C3023" s="976" t="s">
        <v>577</v>
      </c>
      <c r="D3023" s="980">
        <v>107.88</v>
      </c>
      <c r="E3023" s="977">
        <v>10727.55</v>
      </c>
      <c r="F3023" s="1253"/>
      <c r="G3023" s="1251"/>
    </row>
    <row r="3024" spans="3:7">
      <c r="C3024" s="976" t="s">
        <v>578</v>
      </c>
      <c r="D3024" s="980">
        <v>109.8</v>
      </c>
      <c r="E3024" s="977">
        <v>10902.93</v>
      </c>
      <c r="F3024" s="1253"/>
      <c r="G3024" s="1251"/>
    </row>
    <row r="3025" spans="3:7">
      <c r="C3025" s="976" t="s">
        <v>563</v>
      </c>
      <c r="D3025" s="980">
        <v>111.28</v>
      </c>
      <c r="E3025" s="977">
        <v>11072.33</v>
      </c>
      <c r="F3025" s="1253"/>
      <c r="G3025" s="1251"/>
    </row>
    <row r="3026" spans="3:7">
      <c r="C3026" s="976" t="s">
        <v>562</v>
      </c>
      <c r="D3026" s="980">
        <v>113.97</v>
      </c>
      <c r="E3026" s="977">
        <v>11339.63</v>
      </c>
      <c r="F3026" s="1253"/>
      <c r="G3026" s="1251"/>
    </row>
    <row r="3027" spans="3:7">
      <c r="C3027" s="976" t="s">
        <v>561</v>
      </c>
      <c r="D3027" s="980">
        <v>115.15</v>
      </c>
      <c r="E3027" s="977">
        <v>11493.88</v>
      </c>
      <c r="F3027" s="1253"/>
      <c r="G3027" s="1251"/>
    </row>
    <row r="3028" spans="3:7">
      <c r="C3028" s="976" t="s">
        <v>560</v>
      </c>
      <c r="D3028" s="980">
        <v>115.6</v>
      </c>
      <c r="E3028" s="977">
        <v>11566.83</v>
      </c>
      <c r="F3028" s="1253"/>
      <c r="G3028" s="1251"/>
    </row>
    <row r="3029" spans="3:7">
      <c r="C3029" s="976" t="s">
        <v>559</v>
      </c>
      <c r="D3029" s="980">
        <v>116.05</v>
      </c>
      <c r="E3029" s="977">
        <v>11735.13</v>
      </c>
      <c r="F3029" s="1253"/>
      <c r="G3029" s="1251"/>
    </row>
    <row r="3030" spans="3:7">
      <c r="C3030" s="893" t="s">
        <v>889</v>
      </c>
      <c r="D3030" s="980">
        <v>117.35</v>
      </c>
      <c r="E3030" s="977">
        <v>12151.75</v>
      </c>
      <c r="F3030" s="1253"/>
      <c r="G3030" s="1251"/>
    </row>
    <row r="3031" spans="3:7">
      <c r="C3031" s="893" t="s">
        <v>890</v>
      </c>
      <c r="D3031" s="980">
        <v>115.96</v>
      </c>
      <c r="E3031" s="977">
        <v>11961.916666666666</v>
      </c>
      <c r="F3031" s="1253"/>
      <c r="G3031" s="1251"/>
    </row>
    <row r="3032" spans="3:7">
      <c r="C3032" s="893" t="s">
        <v>891</v>
      </c>
      <c r="D3032" s="980">
        <v>114.75</v>
      </c>
      <c r="E3032" s="977">
        <v>11816.5375</v>
      </c>
      <c r="F3032" s="1253"/>
      <c r="G3032" s="1251"/>
    </row>
    <row r="3033" spans="3:7">
      <c r="C3033" s="893" t="s">
        <v>892</v>
      </c>
      <c r="D3033" s="980">
        <v>114.41</v>
      </c>
      <c r="E3033" s="977">
        <v>11760.58</v>
      </c>
      <c r="F3033" s="1253"/>
      <c r="G3033" s="1251"/>
    </row>
    <row r="3034" spans="3:7">
      <c r="C3034" s="893" t="s">
        <v>893</v>
      </c>
      <c r="D3034" s="980">
        <v>114.47</v>
      </c>
      <c r="E3034" s="977">
        <v>11752.275</v>
      </c>
      <c r="F3034" s="1253"/>
      <c r="G3034" s="1251"/>
    </row>
    <row r="3035" spans="3:7">
      <c r="C3035" s="893" t="s">
        <v>894</v>
      </c>
      <c r="D3035" s="980">
        <v>114.77</v>
      </c>
      <c r="E3035" s="977">
        <v>11767.842857142856</v>
      </c>
      <c r="F3035" s="1253"/>
      <c r="G3035" s="1251"/>
    </row>
    <row r="3036" spans="3:7">
      <c r="C3036" s="893" t="s">
        <v>895</v>
      </c>
      <c r="D3036" s="980">
        <v>114.72</v>
      </c>
      <c r="E3036" s="977">
        <v>11759.287499999999</v>
      </c>
      <c r="F3036" s="1253"/>
      <c r="G3036" s="1251"/>
    </row>
    <row r="3037" spans="3:7">
      <c r="C3037" s="893" t="s">
        <v>896</v>
      </c>
      <c r="D3037" s="980">
        <v>114.34</v>
      </c>
      <c r="E3037" s="977">
        <v>11765.005555555554</v>
      </c>
      <c r="F3037" s="1253"/>
      <c r="G3037" s="1251"/>
    </row>
    <row r="3038" spans="3:7">
      <c r="C3038" s="893" t="s">
        <v>897</v>
      </c>
      <c r="D3038" s="980">
        <v>114.13</v>
      </c>
      <c r="E3038" s="977">
        <v>11802.755</v>
      </c>
      <c r="F3038" s="1253"/>
      <c r="G3038" s="1251"/>
    </row>
    <row r="3039" spans="3:7">
      <c r="C3039" s="893" t="s">
        <v>898</v>
      </c>
      <c r="D3039" s="980">
        <v>113.57</v>
      </c>
      <c r="E3039" s="977">
        <v>11832.072727272725</v>
      </c>
      <c r="F3039" s="1253"/>
      <c r="G3039" s="1251"/>
    </row>
    <row r="3040" spans="3:7">
      <c r="C3040" s="893" t="s">
        <v>899</v>
      </c>
      <c r="D3040" s="980">
        <v>112.43</v>
      </c>
      <c r="E3040" s="977">
        <v>11846.231818181817</v>
      </c>
      <c r="F3040" s="1253"/>
      <c r="G3040" s="1251"/>
    </row>
    <row r="3041" spans="3:7">
      <c r="C3041" s="893" t="s">
        <v>900</v>
      </c>
      <c r="D3041" s="980">
        <v>111.84</v>
      </c>
      <c r="E3041" s="977">
        <v>11818.23</v>
      </c>
      <c r="F3041" s="1253"/>
      <c r="G3041" s="1251"/>
    </row>
    <row r="3042" spans="3:7">
      <c r="C3042" s="893" t="s">
        <v>901</v>
      </c>
      <c r="D3042" s="980">
        <v>111.69</v>
      </c>
      <c r="E3042" s="977">
        <v>11844.45</v>
      </c>
      <c r="F3042" s="1253"/>
      <c r="G3042" s="1251"/>
    </row>
    <row r="3043" spans="3:7">
      <c r="C3043" s="893" t="s">
        <v>902</v>
      </c>
      <c r="D3043" s="980">
        <v>111.76</v>
      </c>
      <c r="E3043" s="977">
        <v>11902.45625</v>
      </c>
      <c r="F3043" s="1253"/>
      <c r="G3043" s="1251"/>
    </row>
    <row r="3044" spans="3:7">
      <c r="C3044" s="893" t="s">
        <v>903</v>
      </c>
      <c r="D3044" s="980">
        <v>111.58</v>
      </c>
      <c r="E3044" s="977">
        <v>11954.699999999999</v>
      </c>
      <c r="F3044" s="1253"/>
      <c r="G3044" s="1251"/>
    </row>
    <row r="3045" spans="3:7">
      <c r="C3045" s="893" t="s">
        <v>904</v>
      </c>
      <c r="D3045" s="980">
        <v>111.05</v>
      </c>
      <c r="E3045" s="977">
        <v>11995.358333333332</v>
      </c>
      <c r="F3045" s="1253"/>
      <c r="G3045" s="1251"/>
    </row>
    <row r="3046" spans="3:7">
      <c r="C3046" s="893" t="s">
        <v>905</v>
      </c>
      <c r="D3046" s="980">
        <v>109.95</v>
      </c>
      <c r="E3046" s="977">
        <v>12022.18</v>
      </c>
      <c r="F3046" s="1253"/>
      <c r="G3046" s="1251"/>
    </row>
    <row r="3047" spans="3:7">
      <c r="C3047" s="893" t="s">
        <v>906</v>
      </c>
      <c r="D3047" s="980">
        <v>108.85</v>
      </c>
      <c r="E3047" s="977">
        <v>12102.875</v>
      </c>
      <c r="F3047" s="1253"/>
      <c r="G3047" s="1251"/>
    </row>
    <row r="3048" spans="3:7">
      <c r="C3048" s="893" t="s">
        <v>907</v>
      </c>
      <c r="D3048" s="980">
        <v>108</v>
      </c>
      <c r="E3048" s="977">
        <v>12200.25</v>
      </c>
      <c r="F3048" s="1253"/>
      <c r="G3048" s="1251"/>
    </row>
    <row r="3049" spans="3:7">
      <c r="C3049" s="893" t="s">
        <v>908</v>
      </c>
      <c r="D3049" s="980">
        <v>105.9</v>
      </c>
      <c r="E3049" s="977">
        <v>12229.125</v>
      </c>
      <c r="F3049" s="1253"/>
      <c r="G3049" s="1251"/>
    </row>
    <row r="3050" spans="3:7">
      <c r="C3050" s="893" t="s">
        <v>1033</v>
      </c>
      <c r="D3050" s="980">
        <v>106.16</v>
      </c>
      <c r="E3050" s="977">
        <v>12609.77</v>
      </c>
      <c r="F3050" s="1253"/>
      <c r="G3050" s="1251"/>
    </row>
    <row r="3051" spans="3:7">
      <c r="C3051" s="893" t="s">
        <v>1034</v>
      </c>
      <c r="D3051" s="980">
        <v>106.69</v>
      </c>
      <c r="E3051" s="977">
        <v>12746</v>
      </c>
      <c r="F3051" s="1253"/>
      <c r="G3051" s="1251"/>
    </row>
    <row r="3052" spans="3:7">
      <c r="C3052" s="893" t="s">
        <v>1035</v>
      </c>
      <c r="D3052" s="980">
        <v>107.12</v>
      </c>
      <c r="E3052" s="977">
        <v>12805.5</v>
      </c>
      <c r="F3052" s="1253"/>
      <c r="G3052" s="1251"/>
    </row>
    <row r="3053" spans="3:7">
      <c r="C3053" s="893" t="s">
        <v>1036</v>
      </c>
      <c r="D3053" s="980">
        <v>107.36</v>
      </c>
      <c r="E3053" s="977">
        <v>12855.77</v>
      </c>
      <c r="F3053" s="1253"/>
      <c r="G3053" s="1251"/>
    </row>
    <row r="3054" spans="3:7">
      <c r="C3054" s="893" t="s">
        <v>1037</v>
      </c>
      <c r="D3054" s="980">
        <v>107.53</v>
      </c>
      <c r="E3054" s="977">
        <v>12921.92</v>
      </c>
      <c r="F3054" s="1253"/>
      <c r="G3054" s="1251"/>
    </row>
    <row r="3055" spans="3:7">
      <c r="C3055" s="893" t="s">
        <v>1038</v>
      </c>
      <c r="D3055" s="980">
        <v>107.89</v>
      </c>
      <c r="E3055" s="977">
        <v>12978.46</v>
      </c>
      <c r="F3055" s="1253"/>
      <c r="G3055" s="1251"/>
    </row>
    <row r="3056" spans="3:7">
      <c r="C3056" s="893" t="s">
        <v>1039</v>
      </c>
      <c r="D3056" s="980">
        <v>108.13</v>
      </c>
      <c r="E3056" s="977">
        <v>13060.41</v>
      </c>
      <c r="F3056" s="1253"/>
      <c r="G3056" s="1251"/>
    </row>
    <row r="3057" spans="3:7">
      <c r="C3057" s="893" t="s">
        <v>1040</v>
      </c>
      <c r="D3057" s="980">
        <v>108.21</v>
      </c>
      <c r="E3057" s="977">
        <v>13221.35</v>
      </c>
      <c r="F3057" s="1253"/>
      <c r="G3057" s="1251"/>
    </row>
    <row r="3058" spans="3:7">
      <c r="C3058" s="893" t="s">
        <v>1041</v>
      </c>
      <c r="D3058" s="980">
        <v>108.36</v>
      </c>
      <c r="E3058" s="977">
        <v>13285.46</v>
      </c>
      <c r="F3058" s="1253"/>
      <c r="G3058" s="1251"/>
    </row>
    <row r="3059" spans="3:7">
      <c r="C3059" s="893" t="s">
        <v>1042</v>
      </c>
      <c r="D3059" s="980">
        <v>108.42</v>
      </c>
      <c r="E3059" s="977">
        <v>13315.97</v>
      </c>
      <c r="F3059" s="1253"/>
      <c r="G3059" s="1251"/>
    </row>
    <row r="3060" spans="3:7">
      <c r="C3060" s="893" t="s">
        <v>1043</v>
      </c>
      <c r="D3060" s="980">
        <v>108.47</v>
      </c>
      <c r="E3060" s="977">
        <v>13433.58</v>
      </c>
      <c r="F3060" s="1253"/>
      <c r="G3060" s="1251"/>
    </row>
    <row r="3061" spans="3:7">
      <c r="C3061" s="893" t="s">
        <v>1044</v>
      </c>
      <c r="D3061" s="980">
        <v>108.61</v>
      </c>
      <c r="E3061" s="977">
        <v>13507.77</v>
      </c>
      <c r="F3061" s="1253"/>
      <c r="G3061" s="1251"/>
    </row>
    <row r="3062" spans="3:7">
      <c r="C3062" s="893" t="s">
        <v>1045</v>
      </c>
      <c r="D3062" s="980">
        <v>108.74</v>
      </c>
      <c r="E3062" s="977">
        <v>13572.07</v>
      </c>
      <c r="F3062" s="1253"/>
      <c r="G3062" s="1251"/>
    </row>
    <row r="3063" spans="3:7">
      <c r="C3063" s="893" t="s">
        <v>1046</v>
      </c>
      <c r="D3063" s="980">
        <v>108.68</v>
      </c>
      <c r="E3063" s="977">
        <v>13641.14</v>
      </c>
      <c r="F3063" s="1253"/>
      <c r="G3063" s="1251"/>
    </row>
    <row r="3064" spans="3:7">
      <c r="C3064" s="893" t="s">
        <v>1047</v>
      </c>
      <c r="D3064" s="980">
        <v>108.43</v>
      </c>
      <c r="E3064" s="977">
        <v>13720.29</v>
      </c>
      <c r="F3064" s="1253"/>
      <c r="G3064" s="1251"/>
    </row>
    <row r="3065" spans="3:7">
      <c r="C3065" s="893" t="s">
        <v>1048</v>
      </c>
      <c r="D3065" s="980">
        <v>108.15</v>
      </c>
      <c r="E3065" s="977">
        <v>13809.19</v>
      </c>
      <c r="F3065" s="1253"/>
      <c r="G3065" s="1251"/>
    </row>
    <row r="3066" spans="3:7">
      <c r="C3066" s="893" t="s">
        <v>1049</v>
      </c>
      <c r="D3066" s="980">
        <v>108.18</v>
      </c>
      <c r="E3066" s="977">
        <v>13872.52</v>
      </c>
      <c r="F3066" s="1253"/>
      <c r="G3066" s="1251"/>
    </row>
    <row r="3067" spans="3:7">
      <c r="C3067" s="893" t="s">
        <v>1050</v>
      </c>
      <c r="D3067" s="980">
        <v>108.2</v>
      </c>
      <c r="E3067" s="977">
        <v>13939.94</v>
      </c>
      <c r="F3067" s="1253"/>
      <c r="G3067" s="1251"/>
    </row>
    <row r="3068" spans="3:7">
      <c r="C3068" s="893" t="s">
        <v>1051</v>
      </c>
      <c r="D3068" s="980">
        <v>108.12</v>
      </c>
      <c r="E3068" s="977">
        <v>13859</v>
      </c>
      <c r="F3068" s="1253"/>
      <c r="G3068" s="1251"/>
    </row>
    <row r="3069" spans="3:7">
      <c r="C3069" s="893" t="s">
        <v>1052</v>
      </c>
      <c r="D3069" s="980">
        <v>108.12</v>
      </c>
      <c r="E3069" s="977">
        <v>13739.9</v>
      </c>
      <c r="F3069" s="1253"/>
      <c r="G3069" s="1251"/>
    </row>
    <row r="3070" spans="3:7">
      <c r="C3070" s="976" t="s">
        <v>1173</v>
      </c>
      <c r="D3070" s="980">
        <v>117.41</v>
      </c>
      <c r="E3070" s="895">
        <v>13742.62</v>
      </c>
      <c r="F3070" s="1253"/>
      <c r="G3070" s="1251"/>
    </row>
    <row r="3071" spans="3:7">
      <c r="C3071" s="976" t="s">
        <v>1174</v>
      </c>
      <c r="D3071" s="980">
        <v>117.25</v>
      </c>
      <c r="E3071" s="895">
        <v>13540.92</v>
      </c>
      <c r="F3071" s="1253"/>
      <c r="G3071" s="1251"/>
    </row>
    <row r="3072" spans="3:7">
      <c r="C3072" s="976" t="s">
        <v>1175</v>
      </c>
      <c r="D3072" s="980">
        <v>117.87</v>
      </c>
      <c r="E3072" s="895">
        <v>13458.41</v>
      </c>
      <c r="F3072" s="1253"/>
      <c r="G3072" s="1251"/>
    </row>
    <row r="3073" spans="3:7">
      <c r="C3073" s="976" t="s">
        <v>1176</v>
      </c>
      <c r="D3073" s="980">
        <v>118.77</v>
      </c>
      <c r="E3073" s="895">
        <v>13432.23</v>
      </c>
      <c r="F3073" s="1253"/>
      <c r="G3073" s="1251"/>
    </row>
    <row r="3074" spans="3:7">
      <c r="C3074" s="976" t="s">
        <v>1177</v>
      </c>
      <c r="D3074" s="980">
        <v>120.12</v>
      </c>
      <c r="E3074" s="895">
        <v>13434.38</v>
      </c>
      <c r="F3074" s="1253"/>
      <c r="G3074" s="1251"/>
    </row>
    <row r="3075" spans="3:7">
      <c r="C3075" s="976" t="s">
        <v>1178</v>
      </c>
      <c r="D3075" s="980">
        <v>120.73</v>
      </c>
      <c r="E3075" s="895">
        <v>13402.55</v>
      </c>
      <c r="F3075" s="1253"/>
      <c r="G3075" s="1251"/>
    </row>
    <row r="3076" spans="3:7">
      <c r="C3076" s="976" t="s">
        <v>1179</v>
      </c>
      <c r="D3076" s="980">
        <v>121.99</v>
      </c>
      <c r="E3076" s="895">
        <v>13364.7</v>
      </c>
      <c r="F3076" s="1253"/>
      <c r="G3076" s="1251"/>
    </row>
    <row r="3077" spans="3:7">
      <c r="C3077" s="976" t="s">
        <v>1180</v>
      </c>
      <c r="D3077" s="980">
        <v>122.71</v>
      </c>
      <c r="E3077" s="895">
        <v>13343.44</v>
      </c>
      <c r="F3077" s="1253"/>
      <c r="G3077" s="1251"/>
    </row>
    <row r="3078" spans="3:7">
      <c r="C3078" s="976" t="s">
        <v>1181</v>
      </c>
      <c r="D3078" s="980">
        <v>123.05</v>
      </c>
      <c r="E3078" s="895">
        <v>13311.52</v>
      </c>
      <c r="F3078" s="1253"/>
      <c r="G3078" s="1251"/>
    </row>
    <row r="3079" spans="1:8" s="1247" customFormat="1">
      <c r="A3079" s="1248"/>
      <c r="B3079" s="1248"/>
      <c r="C3079" s="976" t="s">
        <v>1182</v>
      </c>
      <c r="D3079" s="980">
        <v>123.09</v>
      </c>
      <c r="E3079" s="895">
        <v>13304.31</v>
      </c>
      <c r="F3079" s="1253"/>
      <c r="G3079" s="1251"/>
      <c r="H3079" s="1248"/>
    </row>
    <row r="3080" spans="1:8" s="1247" customFormat="1">
      <c r="A3080" s="1248"/>
      <c r="B3080" s="1248"/>
      <c r="C3080" s="976" t="s">
        <v>1193</v>
      </c>
      <c r="D3080" s="980">
        <v>122.53</v>
      </c>
      <c r="E3080" s="895">
        <v>13313.11</v>
      </c>
      <c r="F3080" s="1253"/>
      <c r="G3080" s="1251"/>
      <c r="H3080" s="1248"/>
    </row>
    <row r="3081" spans="1:8" s="1247" customFormat="1">
      <c r="A3081" s="1248"/>
      <c r="B3081" s="1248"/>
      <c r="C3081" s="893" t="s">
        <v>1183</v>
      </c>
      <c r="D3081" s="980">
        <v>122.87</v>
      </c>
      <c r="E3081" s="895">
        <v>13278</v>
      </c>
      <c r="F3081" s="1253"/>
      <c r="G3081" s="1251"/>
      <c r="H3081" s="1248"/>
    </row>
    <row r="3082" spans="1:8" s="1247" customFormat="1">
      <c r="A3082" s="1248"/>
      <c r="B3082" s="1248"/>
      <c r="C3082" s="893" t="s">
        <v>1184</v>
      </c>
      <c r="D3082" s="980">
        <v>123.38</v>
      </c>
      <c r="E3082" s="895">
        <v>13238.7</v>
      </c>
      <c r="F3082" s="1253"/>
      <c r="G3082" s="1251"/>
      <c r="H3082" s="1248"/>
    </row>
    <row r="3083" spans="1:8" s="1247" customFormat="1">
      <c r="A3083" s="1248"/>
      <c r="B3083" s="1248"/>
      <c r="C3083" s="893" t="s">
        <v>1185</v>
      </c>
      <c r="D3083" s="980">
        <v>124.15</v>
      </c>
      <c r="E3083" s="895">
        <v>13235.12</v>
      </c>
      <c r="F3083" s="1253"/>
      <c r="G3083" s="1251"/>
      <c r="H3083" s="1248"/>
    </row>
    <row r="3084" spans="1:8" s="1247" customFormat="1">
      <c r="A3084" s="1248"/>
      <c r="B3084" s="1248"/>
      <c r="C3084" s="893" t="s">
        <v>1186</v>
      </c>
      <c r="D3084" s="980">
        <v>124.7</v>
      </c>
      <c r="E3084" s="895">
        <v>13238.54</v>
      </c>
      <c r="F3084" s="1253"/>
      <c r="G3084" s="1251"/>
      <c r="H3084" s="1248"/>
    </row>
    <row r="3085" spans="1:8" s="1247" customFormat="1">
      <c r="A3085" s="1248"/>
      <c r="B3085" s="1248"/>
      <c r="C3085" s="893" t="s">
        <v>1187</v>
      </c>
      <c r="D3085" s="980">
        <v>125.16</v>
      </c>
      <c r="E3085" s="895">
        <v>13229.73</v>
      </c>
      <c r="F3085" s="1253"/>
      <c r="G3085" s="1251"/>
      <c r="H3085" s="1248"/>
    </row>
    <row r="3086" spans="1:8" s="1247" customFormat="1">
      <c r="A3086" s="1248"/>
      <c r="B3086" s="1248"/>
      <c r="C3086" s="893" t="s">
        <v>1188</v>
      </c>
      <c r="D3086" s="980">
        <v>125.16</v>
      </c>
      <c r="E3086" s="895">
        <v>13192.19</v>
      </c>
      <c r="F3086" s="1253"/>
      <c r="G3086" s="1251"/>
      <c r="H3086" s="1248"/>
    </row>
    <row r="3087" spans="3:7">
      <c r="C3087" s="893" t="s">
        <v>1189</v>
      </c>
      <c r="D3087" s="980">
        <v>124.83</v>
      </c>
      <c r="E3087" s="895">
        <v>13191.43</v>
      </c>
      <c r="F3087" s="1253"/>
      <c r="G3087" s="1251"/>
    </row>
    <row r="3088" spans="3:7">
      <c r="C3088" s="893" t="s">
        <v>1190</v>
      </c>
      <c r="D3088" s="980">
        <v>124.01</v>
      </c>
      <c r="E3088" s="895">
        <v>13211.16</v>
      </c>
      <c r="F3088" s="1253"/>
      <c r="G3088" s="1251"/>
    </row>
    <row r="3089" spans="3:7">
      <c r="C3089" s="893" t="s">
        <v>1191</v>
      </c>
      <c r="D3089" s="980">
        <v>122.55</v>
      </c>
      <c r="E3089" s="895">
        <v>13215.78</v>
      </c>
      <c r="F3089" s="1253"/>
      <c r="G3089" s="1251"/>
    </row>
    <row r="3090" spans="3:7">
      <c r="C3090" s="893" t="s">
        <v>1192</v>
      </c>
      <c r="D3090" s="980">
        <v>120.61</v>
      </c>
      <c r="E3090" s="895">
        <v>13290.4</v>
      </c>
      <c r="F3090" s="1253"/>
      <c r="G3090" s="1251"/>
    </row>
    <row r="3091" spans="3:7">
      <c r="C3091" s="976" t="s">
        <v>1289</v>
      </c>
      <c r="D3091" s="980">
        <v>116.66</v>
      </c>
      <c r="E3091" s="895">
        <v>13370.42</v>
      </c>
      <c r="F3091" s="1253"/>
      <c r="G3091" s="1251"/>
    </row>
    <row r="3092" spans="3:7">
      <c r="C3092" s="976" t="s">
        <v>1269</v>
      </c>
      <c r="D3092" s="980">
        <v>117.19</v>
      </c>
      <c r="E3092" s="895">
        <v>13366</v>
      </c>
      <c r="F3092" s="1253"/>
      <c r="G3092" s="1251"/>
    </row>
    <row r="3093" spans="3:7">
      <c r="C3093" s="976" t="s">
        <v>1270</v>
      </c>
      <c r="D3093" s="980">
        <v>118.04</v>
      </c>
      <c r="E3093" s="895">
        <v>13352.71</v>
      </c>
      <c r="F3093" s="1253"/>
      <c r="G3093" s="1251"/>
    </row>
    <row r="3094" spans="3:7">
      <c r="C3094" s="976" t="s">
        <v>1271</v>
      </c>
      <c r="D3094" s="980">
        <v>118.14</v>
      </c>
      <c r="E3094" s="895">
        <v>13346.33</v>
      </c>
      <c r="F3094" s="1253"/>
      <c r="G3094" s="1251"/>
    </row>
    <row r="3095" spans="3:7">
      <c r="C3095" s="976" t="s">
        <v>1272</v>
      </c>
      <c r="D3095" s="980">
        <v>118.45</v>
      </c>
      <c r="E3095" s="895">
        <v>13337.59</v>
      </c>
      <c r="F3095" s="1253"/>
      <c r="G3095" s="1251"/>
    </row>
    <row r="3096" spans="3:7">
      <c r="C3096" s="976" t="s">
        <v>1273</v>
      </c>
      <c r="D3096" s="980">
        <v>118.4</v>
      </c>
      <c r="E3096" s="895">
        <v>13340.88</v>
      </c>
      <c r="F3096" s="1253"/>
      <c r="G3096" s="1251"/>
    </row>
    <row r="3097" spans="3:7">
      <c r="C3097" s="976" t="s">
        <v>1274</v>
      </c>
      <c r="D3097" s="980">
        <v>118.74</v>
      </c>
      <c r="E3097" s="895">
        <v>13339.66</v>
      </c>
      <c r="F3097" s="1253"/>
      <c r="G3097" s="1251"/>
    </row>
    <row r="3098" spans="3:7">
      <c r="C3098" s="976" t="s">
        <v>1275</v>
      </c>
      <c r="D3098" s="980">
        <v>119.01</v>
      </c>
      <c r="E3098" s="895">
        <v>13334.14</v>
      </c>
      <c r="F3098" s="1253"/>
      <c r="G3098" s="1251"/>
    </row>
    <row r="3099" spans="3:7">
      <c r="C3099" s="976" t="s">
        <v>1276</v>
      </c>
      <c r="D3099" s="980">
        <v>119.06</v>
      </c>
      <c r="E3099" s="895">
        <v>13345.52</v>
      </c>
      <c r="F3099" s="1253"/>
      <c r="G3099" s="1251"/>
    </row>
    <row r="3100" spans="3:7">
      <c r="C3100" s="976" t="s">
        <v>1277</v>
      </c>
      <c r="D3100" s="980">
        <v>119.09</v>
      </c>
      <c r="E3100" s="895">
        <v>13368.46</v>
      </c>
      <c r="F3100" s="1253"/>
      <c r="G3100" s="1251"/>
    </row>
    <row r="3101" spans="3:7">
      <c r="C3101" s="976" t="s">
        <v>1278</v>
      </c>
      <c r="D3101" s="980">
        <v>119.22</v>
      </c>
      <c r="E3101" s="895">
        <v>13386.79</v>
      </c>
      <c r="F3101" s="1253"/>
      <c r="G3101" s="1251"/>
    </row>
    <row r="3102" spans="3:7">
      <c r="C3102" s="893" t="s">
        <v>1279</v>
      </c>
      <c r="D3102" s="980">
        <v>119.45</v>
      </c>
      <c r="E3102" s="895">
        <v>13381.77</v>
      </c>
      <c r="F3102" s="1253"/>
      <c r="G3102" s="1251"/>
    </row>
    <row r="3103" spans="3:7">
      <c r="C3103" s="893" t="s">
        <v>1280</v>
      </c>
      <c r="D3103" s="980">
        <v>119.62</v>
      </c>
      <c r="E3103" s="895">
        <v>13383.8</v>
      </c>
      <c r="F3103" s="1253"/>
      <c r="G3103" s="1251"/>
    </row>
    <row r="3104" spans="3:7">
      <c r="C3104" s="893" t="s">
        <v>1281</v>
      </c>
      <c r="D3104" s="980">
        <v>119.89</v>
      </c>
      <c r="E3104" s="895">
        <v>13388.08</v>
      </c>
      <c r="F3104" s="1253"/>
      <c r="G3104" s="1251"/>
    </row>
    <row r="3105" spans="3:7">
      <c r="C3105" s="893" t="s">
        <v>1282</v>
      </c>
      <c r="D3105" s="980">
        <v>119.84</v>
      </c>
      <c r="E3105" s="895">
        <v>13393.29</v>
      </c>
      <c r="F3105" s="1253"/>
      <c r="G3105" s="1251"/>
    </row>
    <row r="3106" spans="3:7">
      <c r="C3106" s="893" t="s">
        <v>1283</v>
      </c>
      <c r="D3106" s="980">
        <v>119.94</v>
      </c>
      <c r="E3106" s="895">
        <v>13405.62</v>
      </c>
      <c r="F3106" s="1253"/>
      <c r="G3106" s="1251"/>
    </row>
    <row r="3107" spans="3:7">
      <c r="C3107" s="893" t="s">
        <v>1284</v>
      </c>
      <c r="D3107" s="980">
        <v>119.93</v>
      </c>
      <c r="E3107" s="895">
        <v>13422.8</v>
      </c>
      <c r="F3107" s="1253"/>
      <c r="G3107" s="1251"/>
    </row>
    <row r="3108" spans="3:7">
      <c r="C3108" s="893" t="s">
        <v>1285</v>
      </c>
      <c r="D3108" s="980">
        <v>120.16</v>
      </c>
      <c r="E3108" s="895">
        <v>13427.34</v>
      </c>
      <c r="F3108" s="1253"/>
      <c r="G3108" s="1251"/>
    </row>
    <row r="3109" spans="3:7">
      <c r="C3109" s="893" t="s">
        <v>1286</v>
      </c>
      <c r="D3109" s="980">
        <v>120.23</v>
      </c>
      <c r="E3109" s="895">
        <v>13453.83</v>
      </c>
      <c r="F3109" s="1253"/>
      <c r="G3109" s="1251"/>
    </row>
    <row r="3110" spans="3:7">
      <c r="C3110" s="893" t="s">
        <v>1287</v>
      </c>
      <c r="D3110" s="980">
        <v>119.75</v>
      </c>
      <c r="E3110" s="895">
        <v>13490.14</v>
      </c>
      <c r="F3110" s="1253"/>
      <c r="G3110" s="1251"/>
    </row>
    <row r="3111" spans="3:7">
      <c r="C3111" s="893" t="s">
        <v>1288</v>
      </c>
      <c r="D3111" s="980">
        <v>119.9</v>
      </c>
      <c r="E3111" s="895">
        <v>13537.2</v>
      </c>
      <c r="F3111" s="1253"/>
      <c r="G3111" s="1251"/>
    </row>
    <row r="3112" spans="3:7">
      <c r="C3112" s="893" t="s">
        <v>1357</v>
      </c>
      <c r="D3112" s="980">
        <v>122.65</v>
      </c>
      <c r="E3112" s="895">
        <v>13472</v>
      </c>
      <c r="F3112" s="1253"/>
      <c r="G3112" s="1251"/>
    </row>
    <row r="3113" spans="3:7">
      <c r="C3113" s="893" t="s">
        <v>1358</v>
      </c>
      <c r="D3113" s="980">
        <v>124.83</v>
      </c>
      <c r="E3113" s="895">
        <v>13559.6</v>
      </c>
      <c r="F3113" s="1253"/>
      <c r="G3113" s="1251"/>
    </row>
    <row r="3114" spans="3:7">
      <c r="C3114" s="893" t="s">
        <v>1359</v>
      </c>
      <c r="D3114" s="980">
        <v>125.75</v>
      </c>
      <c r="E3114" s="895">
        <v>13614.76</v>
      </c>
      <c r="F3114" s="1253"/>
      <c r="G3114" s="1251"/>
    </row>
    <row r="3115" spans="3:7">
      <c r="C3115" s="893" t="s">
        <v>1360</v>
      </c>
      <c r="D3115" s="980">
        <v>126.23</v>
      </c>
      <c r="E3115" s="895">
        <v>13728.94</v>
      </c>
      <c r="F3115" s="1253"/>
      <c r="G3115" s="1251"/>
    </row>
    <row r="3116" spans="3:7">
      <c r="C3116" s="893" t="s">
        <v>1361</v>
      </c>
      <c r="D3116" s="980">
        <v>126.36</v>
      </c>
      <c r="E3116" s="895">
        <v>13758</v>
      </c>
      <c r="F3116" s="1253"/>
      <c r="G3116" s="1251"/>
    </row>
    <row r="3117" spans="3:7">
      <c r="C3117" s="893" t="s">
        <v>1362</v>
      </c>
      <c r="D3117" s="980">
        <v>126.76</v>
      </c>
      <c r="E3117" s="895">
        <v>13862.2</v>
      </c>
      <c r="F3117" s="1253"/>
      <c r="G3117" s="1251"/>
    </row>
    <row r="3118" spans="3:7">
      <c r="C3118" s="893" t="s">
        <v>1363</v>
      </c>
      <c r="D3118" s="980">
        <v>127.37</v>
      </c>
      <c r="E3118" s="895">
        <v>13976.31</v>
      </c>
      <c r="F3118" s="1253"/>
      <c r="G3118" s="1251"/>
    </row>
    <row r="3119" spans="3:7">
      <c r="C3119" s="893" t="s">
        <v>1364</v>
      </c>
      <c r="D3119" s="980">
        <v>128.16</v>
      </c>
      <c r="E3119" s="895">
        <v>14133.34</v>
      </c>
      <c r="F3119" s="1253"/>
      <c r="G3119" s="1251"/>
    </row>
    <row r="3120" spans="3:7">
      <c r="C3120" s="893" t="s">
        <v>1365</v>
      </c>
      <c r="D3120" s="980">
        <v>128.68</v>
      </c>
      <c r="E3120" s="895">
        <v>14217.94</v>
      </c>
      <c r="F3120" s="1253"/>
      <c r="G3120" s="1251"/>
    </row>
    <row r="3121" spans="3:7">
      <c r="C3121" s="893" t="s">
        <v>1366</v>
      </c>
      <c r="D3121" s="980">
        <v>128.79</v>
      </c>
      <c r="E3121" s="895">
        <v>14267.57</v>
      </c>
      <c r="F3121" s="1253"/>
      <c r="G3121" s="1251"/>
    </row>
    <row r="3122" spans="3:7">
      <c r="C3122" s="893" t="s">
        <v>1367</v>
      </c>
      <c r="D3122" s="980">
        <v>129.49</v>
      </c>
      <c r="E3122" s="895">
        <v>14328</v>
      </c>
      <c r="F3122" s="1253"/>
      <c r="G3122" s="1251"/>
    </row>
    <row r="3123" spans="3:7">
      <c r="C3123" s="893" t="s">
        <v>1368</v>
      </c>
      <c r="D3123" s="980">
        <v>130</v>
      </c>
      <c r="E3123" s="895">
        <v>14412.65</v>
      </c>
      <c r="F3123" s="1253"/>
      <c r="G3123" s="1251"/>
    </row>
    <row r="3124" spans="3:7">
      <c r="C3124" s="893" t="s">
        <v>1369</v>
      </c>
      <c r="D3124" s="980">
        <v>130.11</v>
      </c>
      <c r="E3124" s="895">
        <v>14487.94</v>
      </c>
      <c r="F3124" s="1253"/>
      <c r="G3124" s="1251"/>
    </row>
    <row r="3125" spans="3:7">
      <c r="C3125" s="893" t="s">
        <v>1370</v>
      </c>
      <c r="D3125" s="980">
        <v>130.2</v>
      </c>
      <c r="E3125" s="895">
        <v>14530.23</v>
      </c>
      <c r="F3125" s="1253"/>
      <c r="G3125" s="1251"/>
    </row>
    <row r="3126" spans="3:7">
      <c r="C3126" s="893" t="s">
        <v>1371</v>
      </c>
      <c r="D3126" s="980">
        <v>130.62</v>
      </c>
      <c r="E3126" s="895">
        <v>14626.79</v>
      </c>
      <c r="F3126" s="1253"/>
      <c r="G3126" s="1251"/>
    </row>
    <row r="3127" spans="3:7">
      <c r="C3127" s="893" t="s">
        <v>1372</v>
      </c>
      <c r="D3127" s="980">
        <v>130.82</v>
      </c>
      <c r="E3127" s="895">
        <v>14671.03</v>
      </c>
      <c r="F3127" s="1253"/>
      <c r="G3127" s="1251"/>
    </row>
    <row r="3128" spans="3:7">
      <c r="C3128" s="893" t="s">
        <v>1373</v>
      </c>
      <c r="D3128" s="980">
        <v>131.23</v>
      </c>
      <c r="E3128" s="895">
        <v>14748.59</v>
      </c>
      <c r="F3128" s="1253"/>
      <c r="G3128" s="1251"/>
    </row>
    <row r="3129" spans="3:7">
      <c r="C3129" s="893" t="s">
        <v>1374</v>
      </c>
      <c r="D3129" s="980">
        <v>131.38</v>
      </c>
      <c r="E3129" s="895">
        <v>14804.44</v>
      </c>
      <c r="F3129" s="1253"/>
      <c r="G3129" s="1251"/>
    </row>
    <row r="3130" spans="3:7">
      <c r="C3130" s="893" t="s">
        <v>1375</v>
      </c>
      <c r="D3130" s="980">
        <v>130.99</v>
      </c>
      <c r="E3130" s="895">
        <v>14811.64</v>
      </c>
      <c r="F3130" s="1253"/>
      <c r="G3130" s="1251"/>
    </row>
    <row r="3131" spans="3:7">
      <c r="C3131" s="893" t="s">
        <v>1376</v>
      </c>
      <c r="D3131" s="980">
        <v>129.71</v>
      </c>
      <c r="E3131" s="895">
        <v>14677</v>
      </c>
      <c r="F3131" s="1253"/>
      <c r="G3131" s="1251"/>
    </row>
    <row r="3132" spans="2:6">
      <c r="B3132" s="1247" t="s">
        <v>522</v>
      </c>
      <c r="C3132" s="976"/>
      <c r="D3132" s="974"/>
      <c r="E3132" s="895"/>
      <c r="F3132" s="1253"/>
    </row>
    <row r="3133" spans="3:6">
      <c r="C3133" s="892" t="s">
        <v>547</v>
      </c>
      <c r="D3133" s="361">
        <v>110.76</v>
      </c>
      <c r="E3133" s="895">
        <v>9751.8</v>
      </c>
      <c r="F3133" s="1253"/>
    </row>
    <row r="3134" spans="3:6">
      <c r="C3134" s="892" t="s">
        <v>548</v>
      </c>
      <c r="D3134" s="361">
        <v>104.12</v>
      </c>
      <c r="E3134" s="895">
        <v>9684</v>
      </c>
      <c r="F3134" s="1253"/>
    </row>
    <row r="3135" spans="3:6">
      <c r="C3135" s="892" t="s">
        <v>549</v>
      </c>
      <c r="D3135" s="361">
        <v>102.8</v>
      </c>
      <c r="E3135" s="895">
        <v>9708.25</v>
      </c>
      <c r="F3135" s="1253"/>
    </row>
    <row r="3136" spans="3:6">
      <c r="C3136" s="892" t="s">
        <v>550</v>
      </c>
      <c r="D3136" s="361">
        <v>100.53</v>
      </c>
      <c r="E3136" s="895">
        <v>9726.5</v>
      </c>
      <c r="F3136" s="1253"/>
    </row>
    <row r="3137" spans="3:6">
      <c r="C3137" s="892" t="s">
        <v>551</v>
      </c>
      <c r="D3137" s="361">
        <v>97.11</v>
      </c>
      <c r="E3137" s="895">
        <v>9745.4</v>
      </c>
      <c r="F3137" s="1253"/>
    </row>
    <row r="3138" spans="3:6">
      <c r="C3138" s="892" t="s">
        <v>552</v>
      </c>
      <c r="D3138" s="361">
        <v>100.92</v>
      </c>
      <c r="E3138" s="895">
        <v>9886.5</v>
      </c>
      <c r="F3138" s="1253"/>
    </row>
    <row r="3139" spans="3:6">
      <c r="C3139" s="892" t="s">
        <v>553</v>
      </c>
      <c r="D3139" s="361">
        <v>101.02</v>
      </c>
      <c r="E3139" s="895">
        <v>10056.6</v>
      </c>
      <c r="F3139" s="1253"/>
    </row>
    <row r="3140" spans="3:8">
      <c r="C3140" s="892" t="s">
        <v>554</v>
      </c>
      <c r="D3140" s="361">
        <v>107.71</v>
      </c>
      <c r="E3140" s="895">
        <v>10517</v>
      </c>
      <c r="F3140" s="1253"/>
      <c r="G3140" s="1251"/>
      <c r="H3140" s="1251"/>
    </row>
    <row r="3141" spans="3:8">
      <c r="C3141" s="892" t="s">
        <v>555</v>
      </c>
      <c r="D3141" s="974">
        <v>113.81</v>
      </c>
      <c r="E3141" s="895">
        <v>11275</v>
      </c>
      <c r="F3141" s="1253"/>
      <c r="G3141" s="1251"/>
      <c r="H3141" s="1251"/>
    </row>
    <row r="3142" spans="3:8">
      <c r="C3142" s="892" t="s">
        <v>556</v>
      </c>
      <c r="D3142" s="361">
        <v>114.69</v>
      </c>
      <c r="E3142" s="895">
        <v>11230.25</v>
      </c>
      <c r="F3142" s="1253"/>
      <c r="G3142" s="1251"/>
      <c r="H3142" s="1251"/>
    </row>
    <row r="3143" spans="3:8">
      <c r="C3143" s="892" t="s">
        <v>557</v>
      </c>
      <c r="D3143" s="974">
        <v>115.21</v>
      </c>
      <c r="E3143" s="895">
        <v>11447.5</v>
      </c>
      <c r="F3143" s="1253"/>
      <c r="G3143" s="1251"/>
      <c r="H3143" s="1251"/>
    </row>
    <row r="3144" spans="3:6">
      <c r="C3144" s="892" t="s">
        <v>558</v>
      </c>
      <c r="D3144" s="361">
        <v>116.89</v>
      </c>
      <c r="E3144" s="895">
        <v>12022.75</v>
      </c>
      <c r="F3144" s="1253"/>
    </row>
    <row r="3145" spans="3:6">
      <c r="C3145" s="894" t="s">
        <v>909</v>
      </c>
      <c r="D3145" s="974">
        <v>116.395</v>
      </c>
      <c r="E3145" s="895">
        <v>12177.25</v>
      </c>
      <c r="F3145" s="1253"/>
    </row>
    <row r="3146" spans="3:6">
      <c r="C3146" s="893" t="s">
        <v>910</v>
      </c>
      <c r="D3146" s="974">
        <v>118.3125</v>
      </c>
      <c r="E3146" s="895">
        <v>12126.25</v>
      </c>
      <c r="F3146" s="1253"/>
    </row>
    <row r="3147" spans="3:6">
      <c r="C3147" s="893" t="s">
        <v>911</v>
      </c>
      <c r="D3147" s="974">
        <v>113.16999999999999</v>
      </c>
      <c r="E3147" s="895">
        <v>11582.25</v>
      </c>
      <c r="F3147" s="1253"/>
    </row>
    <row r="3148" spans="3:6">
      <c r="C3148" s="893" t="s">
        <v>912</v>
      </c>
      <c r="D3148" s="974">
        <v>111.14000000000002</v>
      </c>
      <c r="E3148" s="895">
        <v>11380.4</v>
      </c>
      <c r="F3148" s="1253"/>
    </row>
    <row r="3149" spans="3:6">
      <c r="C3149" s="893" t="s">
        <v>913</v>
      </c>
      <c r="D3149" s="974">
        <v>113.00750000000001</v>
      </c>
      <c r="E3149" s="895">
        <v>11536.75</v>
      </c>
      <c r="F3149" s="1253"/>
    </row>
    <row r="3150" spans="3:6">
      <c r="C3150" s="893" t="s">
        <v>914</v>
      </c>
      <c r="D3150" s="974">
        <v>114.805</v>
      </c>
      <c r="E3150" s="895">
        <v>11710.75</v>
      </c>
      <c r="F3150" s="1253"/>
    </row>
    <row r="3151" spans="3:6">
      <c r="C3151" s="893" t="s">
        <v>915</v>
      </c>
      <c r="D3151" s="974">
        <v>116.53999999999999</v>
      </c>
      <c r="E3151" s="895">
        <v>11861.25</v>
      </c>
      <c r="F3151" s="1253"/>
    </row>
    <row r="3152" spans="3:6">
      <c r="C3152" s="893" t="s">
        <v>916</v>
      </c>
      <c r="D3152" s="974">
        <v>114.354</v>
      </c>
      <c r="E3152" s="895">
        <v>11699.4</v>
      </c>
      <c r="F3152" s="1253"/>
    </row>
    <row r="3153" spans="3:6">
      <c r="C3153" s="893" t="s">
        <v>917</v>
      </c>
      <c r="D3153" s="974">
        <v>111.38000000000001</v>
      </c>
      <c r="E3153" s="895">
        <v>11810.75</v>
      </c>
      <c r="F3153" s="1253"/>
    </row>
    <row r="3154" spans="3:6">
      <c r="C3154" s="893" t="s">
        <v>918</v>
      </c>
      <c r="D3154" s="974">
        <v>112.2025</v>
      </c>
      <c r="E3154" s="895">
        <v>12142.5</v>
      </c>
      <c r="F3154" s="1253"/>
    </row>
    <row r="3155" spans="3:6">
      <c r="C3155" s="893" t="s">
        <v>919</v>
      </c>
      <c r="D3155" s="974">
        <v>107.975</v>
      </c>
      <c r="E3155" s="895">
        <v>12125.25</v>
      </c>
      <c r="F3155" s="1253"/>
    </row>
    <row r="3156" spans="3:6">
      <c r="C3156" s="893" t="s">
        <v>920</v>
      </c>
      <c r="D3156" s="974">
        <v>103.828</v>
      </c>
      <c r="E3156" s="895">
        <v>12333</v>
      </c>
      <c r="F3156" s="1253"/>
    </row>
    <row r="3157" spans="3:6">
      <c r="C3157" s="894" t="s">
        <v>1053</v>
      </c>
      <c r="D3157" s="974">
        <v>105.43</v>
      </c>
      <c r="E3157" s="895">
        <v>12539.8</v>
      </c>
      <c r="F3157" s="1253"/>
    </row>
    <row r="3158" spans="3:6">
      <c r="C3158" s="893" t="s">
        <v>1054</v>
      </c>
      <c r="D3158" s="974">
        <v>106.12</v>
      </c>
      <c r="E3158" s="895">
        <v>12658.2</v>
      </c>
      <c r="F3158" s="1253"/>
    </row>
    <row r="3159" spans="3:6">
      <c r="C3159" s="893" t="s">
        <v>1055</v>
      </c>
      <c r="D3159" s="974">
        <v>106.65</v>
      </c>
      <c r="E3159" s="895">
        <v>13006.2</v>
      </c>
      <c r="F3159" s="1253"/>
    </row>
    <row r="3160" spans="3:6">
      <c r="C3160" s="893" t="s">
        <v>1056</v>
      </c>
      <c r="D3160" s="974">
        <v>106.74</v>
      </c>
      <c r="E3160" s="895">
        <v>12960.2</v>
      </c>
      <c r="F3160" s="1253"/>
    </row>
    <row r="3161" spans="3:6">
      <c r="C3161" s="893" t="s">
        <v>1057</v>
      </c>
      <c r="D3161" s="974">
        <v>106.8</v>
      </c>
      <c r="E3161" s="895">
        <v>13051.6</v>
      </c>
      <c r="F3161" s="1253"/>
    </row>
    <row r="3162" spans="3:6">
      <c r="C3162" s="893" t="s">
        <v>1058</v>
      </c>
      <c r="D3162" s="974">
        <v>107.28</v>
      </c>
      <c r="E3162" s="895">
        <v>13258</v>
      </c>
      <c r="F3162" s="1253"/>
    </row>
    <row r="3163" spans="3:6">
      <c r="C3163" s="893" t="s">
        <v>1059</v>
      </c>
      <c r="D3163" s="974">
        <v>107.54</v>
      </c>
      <c r="E3163" s="895">
        <v>13346</v>
      </c>
      <c r="F3163" s="1253"/>
    </row>
    <row r="3164" spans="3:6">
      <c r="C3164" s="893" t="s">
        <v>1060</v>
      </c>
      <c r="D3164" s="974">
        <v>107.89</v>
      </c>
      <c r="E3164" s="895">
        <v>13622.6</v>
      </c>
      <c r="F3164" s="1253"/>
    </row>
    <row r="3165" spans="3:6">
      <c r="C3165" s="893" t="s">
        <v>1061</v>
      </c>
      <c r="D3165" s="974">
        <v>108.3</v>
      </c>
      <c r="E3165" s="895">
        <v>14247.16</v>
      </c>
      <c r="F3165" s="1253"/>
    </row>
    <row r="3166" spans="3:6">
      <c r="C3166" s="893" t="s">
        <v>1062</v>
      </c>
      <c r="D3166" s="974">
        <v>108.55</v>
      </c>
      <c r="E3166" s="895">
        <v>14058.4</v>
      </c>
      <c r="F3166" s="1253"/>
    </row>
    <row r="3167" spans="3:6">
      <c r="C3167" s="893" t="s">
        <v>1063</v>
      </c>
      <c r="D3167" s="974">
        <v>108.71</v>
      </c>
      <c r="E3167" s="895">
        <v>13648.2</v>
      </c>
      <c r="F3167" s="1253"/>
    </row>
    <row r="3168" spans="3:6">
      <c r="C3168" s="893" t="s">
        <v>1064</v>
      </c>
      <c r="D3168" s="974">
        <v>108.63</v>
      </c>
      <c r="E3168" s="895">
        <v>13815.5</v>
      </c>
      <c r="F3168" s="1253"/>
    </row>
    <row r="3169" spans="3:6">
      <c r="C3169" s="976" t="s">
        <v>1160</v>
      </c>
      <c r="D3169" s="974">
        <v>117.21</v>
      </c>
      <c r="E3169" s="895">
        <v>13877</v>
      </c>
      <c r="F3169" s="1253"/>
    </row>
    <row r="3170" spans="3:6">
      <c r="C3170" s="976" t="s">
        <v>1161</v>
      </c>
      <c r="D3170" s="974">
        <v>117.63</v>
      </c>
      <c r="E3170" s="895">
        <v>13663.2</v>
      </c>
      <c r="F3170" s="1253"/>
    </row>
    <row r="3171" spans="3:6">
      <c r="C3171" s="976" t="s">
        <v>1162</v>
      </c>
      <c r="D3171" s="974">
        <v>117.34</v>
      </c>
      <c r="E3171" s="895">
        <v>13261</v>
      </c>
      <c r="F3171" s="1253"/>
    </row>
    <row r="3172" spans="3:6">
      <c r="C3172" s="976" t="s">
        <v>1163</v>
      </c>
      <c r="D3172" s="974">
        <v>119.35</v>
      </c>
      <c r="E3172" s="895">
        <v>13198.8</v>
      </c>
      <c r="F3172" s="1253"/>
    </row>
    <row r="3173" spans="3:6">
      <c r="C3173" s="976" t="s">
        <v>1164</v>
      </c>
      <c r="D3173" s="974">
        <v>121.98</v>
      </c>
      <c r="E3173" s="895">
        <v>13291.4</v>
      </c>
      <c r="F3173" s="1253"/>
    </row>
    <row r="3174" spans="3:6">
      <c r="C3174" s="976" t="s">
        <v>1165</v>
      </c>
      <c r="D3174" s="974">
        <v>125.75</v>
      </c>
      <c r="E3174" s="895">
        <v>13443.4</v>
      </c>
      <c r="F3174" s="1253"/>
    </row>
    <row r="3175" spans="3:6">
      <c r="C3175" s="976" t="s">
        <v>1166</v>
      </c>
      <c r="D3175" s="974">
        <v>126.55</v>
      </c>
      <c r="E3175" s="895">
        <v>13175.5</v>
      </c>
      <c r="F3175" s="1253"/>
    </row>
    <row r="3176" spans="1:8" s="1247" customFormat="1">
      <c r="A3176" s="1248"/>
      <c r="B3176" s="1248"/>
      <c r="C3176" s="976" t="s">
        <v>1167</v>
      </c>
      <c r="D3176" s="974">
        <v>128.33</v>
      </c>
      <c r="E3176" s="895">
        <v>13139</v>
      </c>
      <c r="F3176" s="1253"/>
      <c r="G3176" s="1248"/>
      <c r="H3176" s="1248"/>
    </row>
    <row r="3177" spans="1:8" s="1247" customFormat="1">
      <c r="A3177" s="1248"/>
      <c r="B3177" s="1248"/>
      <c r="C3177" s="976" t="s">
        <v>1168</v>
      </c>
      <c r="D3177" s="974">
        <v>129.24</v>
      </c>
      <c r="E3177" s="895">
        <v>13176.6</v>
      </c>
      <c r="F3177" s="1253"/>
      <c r="G3177" s="1248"/>
      <c r="H3177" s="1248"/>
    </row>
    <row r="3178" spans="1:8" s="1247" customFormat="1">
      <c r="A3178" s="1248"/>
      <c r="B3178" s="1248"/>
      <c r="C3178" s="976" t="s">
        <v>1169</v>
      </c>
      <c r="D3178" s="974">
        <v>127.03</v>
      </c>
      <c r="E3178" s="895">
        <v>13027.2</v>
      </c>
      <c r="F3178" s="1253"/>
      <c r="G3178" s="1248"/>
      <c r="H3178" s="1248"/>
    </row>
    <row r="3179" spans="1:8" s="1247" customFormat="1">
      <c r="A3179" s="1248"/>
      <c r="B3179" s="1248"/>
      <c r="C3179" s="976" t="s">
        <v>1170</v>
      </c>
      <c r="D3179" s="974">
        <v>123.7</v>
      </c>
      <c r="E3179" s="895">
        <v>13206.33</v>
      </c>
      <c r="F3179" s="1253"/>
      <c r="G3179" s="1248"/>
      <c r="H3179" s="1248"/>
    </row>
    <row r="3180" spans="1:8" s="1247" customFormat="1">
      <c r="A3180" s="1248"/>
      <c r="B3180" s="1248"/>
      <c r="C3180" s="976" t="s">
        <v>1171</v>
      </c>
      <c r="D3180" s="974">
        <v>116.79</v>
      </c>
      <c r="E3180" s="895">
        <v>13435.2</v>
      </c>
      <c r="F3180" s="1253"/>
      <c r="G3180" s="1248"/>
      <c r="H3180" s="1248"/>
    </row>
    <row r="3181" spans="3:6">
      <c r="C3181" s="976" t="s">
        <v>1301</v>
      </c>
      <c r="D3181" s="974">
        <v>115.67</v>
      </c>
      <c r="E3181" s="895">
        <v>13391.5</v>
      </c>
      <c r="F3181" s="1253"/>
    </row>
    <row r="3182" spans="3:6">
      <c r="C3182" s="976" t="s">
        <v>1290</v>
      </c>
      <c r="D3182" s="974">
        <v>117.55</v>
      </c>
      <c r="E3182" s="895">
        <v>13348.5</v>
      </c>
      <c r="F3182" s="1253"/>
    </row>
    <row r="3183" spans="3:6">
      <c r="C3183" s="976" t="s">
        <v>1291</v>
      </c>
      <c r="D3183" s="974">
        <v>117.95</v>
      </c>
      <c r="E3183" s="895">
        <v>13353</v>
      </c>
      <c r="F3183" s="1253"/>
    </row>
    <row r="3184" spans="3:6">
      <c r="C3184" s="976" t="s">
        <v>1292</v>
      </c>
      <c r="D3184" s="974">
        <v>120.62</v>
      </c>
      <c r="E3184" s="895">
        <v>13304</v>
      </c>
      <c r="F3184" s="1253"/>
    </row>
    <row r="3185" spans="3:6">
      <c r="C3185" s="976" t="s">
        <v>1293</v>
      </c>
      <c r="D3185" s="974">
        <v>119.21</v>
      </c>
      <c r="E3185" s="895">
        <v>13321.8</v>
      </c>
      <c r="F3185" s="1253"/>
    </row>
    <row r="3186" spans="3:6">
      <c r="C3186" s="976" t="s">
        <v>1294</v>
      </c>
      <c r="D3186" s="974">
        <v>119.74</v>
      </c>
      <c r="E3186" s="895">
        <v>13298.25</v>
      </c>
      <c r="F3186" s="1253"/>
    </row>
    <row r="3187" spans="3:6">
      <c r="C3187" s="976" t="s">
        <v>1295</v>
      </c>
      <c r="D3187" s="974">
        <v>118.16</v>
      </c>
      <c r="E3187" s="895">
        <v>13365</v>
      </c>
      <c r="F3187" s="1253"/>
    </row>
    <row r="3188" spans="3:6">
      <c r="C3188" s="976" t="s">
        <v>1296</v>
      </c>
      <c r="D3188" s="974">
        <v>120.26</v>
      </c>
      <c r="E3188" s="895">
        <v>13337</v>
      </c>
      <c r="F3188" s="1253"/>
    </row>
    <row r="3189" spans="3:6">
      <c r="C3189" s="976" t="s">
        <v>1297</v>
      </c>
      <c r="D3189" s="974">
        <v>121.44</v>
      </c>
      <c r="E3189" s="895">
        <v>13306.6</v>
      </c>
      <c r="F3189" s="1253"/>
    </row>
    <row r="3190" spans="3:6">
      <c r="C3190" s="976" t="s">
        <v>1298</v>
      </c>
      <c r="D3190" s="974">
        <v>119.58</v>
      </c>
      <c r="E3190" s="895">
        <v>13399</v>
      </c>
      <c r="F3190" s="1253"/>
    </row>
    <row r="3191" spans="3:6">
      <c r="C3191" s="976" t="s">
        <v>1299</v>
      </c>
      <c r="D3191" s="974">
        <v>119.52</v>
      </c>
      <c r="E3191" s="895">
        <v>13536.5</v>
      </c>
      <c r="F3191" s="1253"/>
    </row>
    <row r="3192" spans="3:6">
      <c r="C3192" s="976" t="s">
        <v>1300</v>
      </c>
      <c r="D3192" s="974">
        <v>120.32</v>
      </c>
      <c r="E3192" s="895">
        <v>13543.33</v>
      </c>
      <c r="F3192" s="1253"/>
    </row>
    <row r="3193" spans="3:5">
      <c r="C3193" s="976" t="s">
        <v>1345</v>
      </c>
      <c r="D3193" s="974">
        <v>119.95</v>
      </c>
      <c r="E3193" s="895">
        <v>13365</v>
      </c>
    </row>
    <row r="3194" spans="3:5">
      <c r="C3194" s="976" t="s">
        <v>1346</v>
      </c>
      <c r="D3194" s="974">
        <v>124.8</v>
      </c>
      <c r="E3194" s="895">
        <v>13514.8</v>
      </c>
    </row>
    <row r="3195" spans="3:5">
      <c r="C3195" s="976" t="s">
        <v>1347</v>
      </c>
      <c r="D3195" s="974">
        <v>129.28</v>
      </c>
      <c r="E3195" s="895">
        <v>13735</v>
      </c>
    </row>
    <row r="3196" spans="3:5">
      <c r="C3196" s="976" t="s">
        <v>1348</v>
      </c>
      <c r="D3196" s="974">
        <v>129.1</v>
      </c>
      <c r="E3196" s="895">
        <v>13798.66</v>
      </c>
    </row>
    <row r="3197" spans="3:5">
      <c r="C3197" s="976" t="s">
        <v>1349</v>
      </c>
      <c r="D3197" s="974">
        <v>127.92</v>
      </c>
      <c r="E3197" s="895">
        <v>13997.83</v>
      </c>
    </row>
    <row r="3198" spans="3:5">
      <c r="C3198" s="976" t="s">
        <v>1350</v>
      </c>
      <c r="D3198" s="974">
        <v>128.11</v>
      </c>
      <c r="E3198" s="895">
        <v>14058.33</v>
      </c>
    </row>
    <row r="3199" spans="3:5">
      <c r="C3199" s="976" t="s">
        <v>1351</v>
      </c>
      <c r="D3199" s="974">
        <v>129.01</v>
      </c>
      <c r="E3199" s="895">
        <v>14329.8</v>
      </c>
    </row>
    <row r="3200" spans="3:5">
      <c r="C3200" s="976" t="s">
        <v>1352</v>
      </c>
      <c r="D3200" s="974">
        <v>130.77</v>
      </c>
      <c r="E3200" s="895">
        <v>14524</v>
      </c>
    </row>
    <row r="3201" spans="3:5">
      <c r="C3201" s="976" t="s">
        <v>1353</v>
      </c>
      <c r="D3201" s="974">
        <v>132.86</v>
      </c>
      <c r="E3201" s="895">
        <v>14837.5</v>
      </c>
    </row>
    <row r="3202" spans="3:5">
      <c r="C3202" s="976" t="s">
        <v>1354</v>
      </c>
      <c r="D3202" s="974">
        <v>133.64</v>
      </c>
      <c r="E3202" s="895">
        <v>15080.5</v>
      </c>
    </row>
    <row r="3203" spans="3:5">
      <c r="C3203" s="976" t="s">
        <v>1355</v>
      </c>
      <c r="D3203" s="974">
        <v>131.1</v>
      </c>
      <c r="E3203" s="895">
        <v>14833.8</v>
      </c>
    </row>
    <row r="3204" spans="3:6">
      <c r="C3204" s="976" t="s">
        <v>1356</v>
      </c>
      <c r="D3204" s="974">
        <v>128.07</v>
      </c>
      <c r="E3204" s="895">
        <v>14492.8</v>
      </c>
      <c r="F3204" s="1248"/>
    </row>
  </sheetData>
  <sheetProtection password="BDAF" sheet="1" objects="1" scenarios="1" selectLockedCells="1" selectUnlockedCells="1"/>
  <mergeCells count="1">
    <mergeCell ref="A3:C3"/>
  </mergeCells>
  <printOptions horizontalCentered="1"/>
  <pageMargins left="0.7" right="0.7" top="0.75" bottom="0.75" header="0.3" footer="0.3"/>
  <pageSetup paperSize="5" fitToHeight="0" orientation="portrait" r:id="rId1"/>
  <headerFooter alignWithMargins="0">
    <oddHeader>&amp;R&amp;"Arial,Bold"&amp;14C.2.1.&amp;P</oddHeader>
    <oddFooter>&amp;L&amp;8Page &amp;P of &amp;N&amp;R&amp;8Printed on &amp;D,&amp;T</oddFooter>
  </headerFooter>
</worksheet>
</file>

<file path=xl/worksheets/sheet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92d050"/>
    <pageSetUpPr fitToPage="1"/>
  </sheetPr>
  <dimension ref="A1:BE62"/>
  <sheetViews>
    <sheetView zoomScaleSheetLayoutView="100" view="pageBreakPreview" workbookViewId="0">
      <selection pane="topLeft" activeCell="R184" sqref="R184"/>
    </sheetView>
  </sheetViews>
  <sheetFormatPr defaultColWidth="9.13671875" defaultRowHeight="12.5" baseColWidth="0"/>
  <cols>
    <col min="1" max="1" width="2.99609375" style="1228" customWidth="1"/>
    <col min="2" max="2" width="26.7109375" style="1228" customWidth="1"/>
    <col min="3" max="4" width="3.13671875" style="1228" customWidth="1"/>
    <col min="5" max="5" width="2.7109375" style="1228" customWidth="1"/>
    <col min="6" max="6" width="3.56640625" style="1228" customWidth="1"/>
    <col min="7" max="24" width="3.28125" style="1228" customWidth="1"/>
    <col min="25" max="25" width="4.7109375" style="1228" customWidth="1"/>
    <col min="26" max="26" width="3.28125" style="1228" customWidth="1"/>
    <col min="27" max="27" width="2.99609375" style="1228" customWidth="1"/>
    <col min="28" max="28" width="19.99609375" style="1228" customWidth="1"/>
    <col min="29" max="16384" width="9.13671875" style="907" customWidth="1"/>
  </cols>
  <sheetData>
    <row r="1" spans="1:27">
      <c r="A1" s="1232"/>
      <c r="B1" s="1232"/>
      <c r="C1" s="1232"/>
      <c r="D1" s="1232"/>
      <c r="E1" s="1232"/>
      <c r="F1" s="1232"/>
      <c r="G1" s="1232"/>
      <c r="H1" s="1232"/>
      <c r="I1" s="1232"/>
      <c r="J1" s="1232"/>
      <c r="K1" s="1232"/>
      <c r="L1" s="1232"/>
      <c r="M1" s="1232"/>
      <c r="N1" s="1232"/>
      <c r="O1" s="1232"/>
      <c r="P1" s="1232"/>
      <c r="Q1" s="1232"/>
      <c r="R1" s="1232"/>
      <c r="S1" s="1232"/>
      <c r="T1" s="1232"/>
      <c r="U1" s="1232"/>
      <c r="V1" s="1232"/>
      <c r="W1" s="1232"/>
      <c r="X1" s="1232"/>
      <c r="Y1" s="1232"/>
      <c r="Z1" s="1232"/>
      <c r="AA1" s="1232"/>
    </row>
    <row r="2" spans="1:27" ht="18">
      <c r="A2" s="1763" t="s">
        <v>1326</v>
      </c>
      <c r="B2" s="1763"/>
      <c r="C2" s="1763"/>
      <c r="D2" s="1763"/>
      <c r="E2" s="1763"/>
      <c r="F2" s="1763"/>
      <c r="G2" s="1763"/>
      <c r="H2" s="1763"/>
      <c r="I2" s="1763"/>
      <c r="J2" s="1763"/>
      <c r="K2" s="1763"/>
      <c r="L2" s="1763"/>
      <c r="M2" s="1763"/>
      <c r="N2" s="1763"/>
      <c r="O2" s="1763"/>
      <c r="P2" s="1763"/>
      <c r="Q2" s="1763"/>
      <c r="R2" s="1763"/>
      <c r="S2" s="1763"/>
      <c r="T2" s="1763"/>
      <c r="U2" s="1763"/>
      <c r="V2" s="1763"/>
      <c r="W2" s="1763"/>
      <c r="X2" s="1763"/>
      <c r="Y2" s="1763"/>
      <c r="Z2" s="1763"/>
      <c r="AA2" s="1763"/>
    </row>
    <row r="3" spans="1:27" ht="16.5" customHeight="1">
      <c r="A3" s="1243" t="s">
        <v>1334</v>
      </c>
      <c r="B3" s="1243"/>
      <c r="C3" s="1243"/>
      <c r="D3" s="1243"/>
      <c r="E3" s="1243"/>
      <c r="F3" s="1243"/>
      <c r="G3" s="1243"/>
      <c r="H3" s="1243"/>
      <c r="I3" s="1243"/>
      <c r="J3" s="1243"/>
      <c r="K3" s="1243"/>
      <c r="L3" s="1243"/>
      <c r="M3" s="1243"/>
      <c r="N3" s="1243"/>
      <c r="O3" s="1243"/>
      <c r="P3" s="1243"/>
      <c r="Q3" s="1243"/>
      <c r="R3" s="1243"/>
      <c r="S3" s="1243"/>
      <c r="T3" s="1243"/>
      <c r="U3" s="1243"/>
      <c r="V3" s="1243"/>
      <c r="W3" s="1243"/>
      <c r="X3" s="1243"/>
      <c r="Y3" s="1243"/>
      <c r="Z3" s="1243"/>
      <c r="AA3" s="1243"/>
    </row>
    <row r="4" spans="1:27" ht="45" customHeight="1">
      <c r="A4" s="1243"/>
      <c r="B4" s="1243"/>
      <c r="C4" s="1243"/>
      <c r="D4" s="1243"/>
      <c r="E4" s="1243"/>
      <c r="F4" s="1243"/>
      <c r="G4" s="1243"/>
      <c r="H4" s="1243"/>
      <c r="I4" s="1243"/>
      <c r="J4" s="1243"/>
      <c r="K4" s="1243"/>
      <c r="L4" s="1243"/>
      <c r="M4" s="1243"/>
      <c r="N4" s="1243"/>
      <c r="O4" s="1243"/>
      <c r="P4" s="1243"/>
      <c r="Q4" s="1243"/>
      <c r="R4" s="1243"/>
      <c r="S4" s="1243"/>
      <c r="T4" s="1243"/>
      <c r="U4" s="1243"/>
      <c r="V4" s="1243"/>
      <c r="W4" s="1243"/>
      <c r="X4" s="1243"/>
      <c r="Y4" s="1243"/>
      <c r="Z4" s="1243"/>
      <c r="AA4" s="1243"/>
    </row>
    <row r="6" spans="1:21">
      <c r="A6" s="1228" t="s">
        <v>1327</v>
      </c>
      <c r="U6" s="1228" t="s">
        <v>197</v>
      </c>
    </row>
    <row r="7" spans="1:1" ht="12" customHeight="1">
      <c r="A7" s="1229" t="s">
        <v>1335</v>
      </c>
    </row>
    <row r="8" ht="12" customHeight="1"/>
    <row r="9" spans="2:27" ht="13">
      <c r="B9" s="1228" t="s">
        <v>1342</v>
      </c>
      <c r="C9" s="1228" t="s">
        <v>26</v>
      </c>
      <c r="D9" s="1764">
        <f>name</f>
        <v>0</v>
      </c>
      <c r="E9" s="1764"/>
      <c r="F9" s="1764"/>
      <c r="G9" s="1764"/>
      <c r="H9" s="1764"/>
      <c r="I9" s="1764"/>
      <c r="J9" s="1764"/>
      <c r="K9" s="1764"/>
      <c r="L9" s="1764"/>
      <c r="M9" s="1764"/>
      <c r="N9" s="1764"/>
      <c r="O9" s="1764"/>
      <c r="P9" s="1764"/>
      <c r="Q9" s="1764"/>
      <c r="R9" s="1764"/>
      <c r="S9" s="1764"/>
      <c r="T9" s="1764"/>
      <c r="U9" s="1764"/>
      <c r="V9" s="1764"/>
      <c r="W9" s="1764"/>
      <c r="X9" s="1764"/>
      <c r="Y9" s="1764"/>
      <c r="Z9" s="1764"/>
      <c r="AA9" s="1764"/>
    </row>
    <row r="10" spans="2:26" ht="13">
      <c r="B10" s="1229"/>
      <c r="C10" s="1228"/>
      <c r="D10" s="1228"/>
      <c r="E10" s="1228"/>
      <c r="F10" s="1228"/>
      <c r="G10" s="1228"/>
      <c r="H10" s="1228"/>
      <c r="I10" s="1228"/>
      <c r="J10" s="1228"/>
      <c r="K10" s="1228"/>
      <c r="L10" s="1228"/>
      <c r="M10" s="1228"/>
      <c r="N10" s="1228"/>
      <c r="O10" s="1228"/>
      <c r="P10" s="1228"/>
      <c r="Q10" s="1228"/>
      <c r="R10" s="1228"/>
      <c r="S10" s="1228"/>
      <c r="T10" s="1228"/>
      <c r="U10" s="1228"/>
      <c r="V10" s="1228"/>
      <c r="W10" s="1228"/>
      <c r="X10" s="1228"/>
      <c r="Y10" s="1228"/>
      <c r="Z10" s="1228"/>
    </row>
    <row r="11" spans="2:27" ht="13">
      <c r="B11" s="1228" t="s">
        <v>1343</v>
      </c>
      <c r="C11" s="1228" t="s">
        <v>26</v>
      </c>
      <c r="D11" s="1764" t="str">
        <f>npwp</f>
        <v>...-.</v>
      </c>
      <c r="E11" s="1764"/>
      <c r="F11" s="1764"/>
      <c r="G11" s="1764"/>
      <c r="H11" s="1764"/>
      <c r="I11" s="1764"/>
      <c r="J11" s="1764"/>
      <c r="K11" s="1764"/>
      <c r="L11" s="1764"/>
      <c r="M11" s="1764"/>
      <c r="N11" s="1764"/>
      <c r="O11" s="1764"/>
      <c r="P11" s="1764"/>
      <c r="Q11" s="1764"/>
      <c r="R11" s="1764"/>
      <c r="S11" s="1764"/>
      <c r="T11" s="1764"/>
      <c r="U11" s="1764"/>
      <c r="V11" s="1764"/>
      <c r="W11" s="1764"/>
      <c r="X11" s="1764"/>
      <c r="Y11" s="1764"/>
      <c r="Z11" s="1764"/>
      <c r="AA11" s="1764"/>
    </row>
    <row r="12" spans="2:29" ht="13">
      <c r="B12" s="1229"/>
      <c r="D12" s="1765"/>
      <c r="E12" s="1765"/>
      <c r="F12" s="1765"/>
      <c r="G12" s="1765"/>
      <c r="H12" s="1765"/>
      <c r="I12" s="1765"/>
      <c r="J12" s="1765"/>
      <c r="K12" s="1765"/>
      <c r="L12" s="1765"/>
      <c r="M12" s="1765"/>
      <c r="N12" s="1765"/>
      <c r="O12" s="1765"/>
      <c r="P12" s="1765"/>
      <c r="Q12" s="1765"/>
      <c r="R12" s="1765"/>
      <c r="S12" s="1765"/>
      <c r="T12" s="1765"/>
      <c r="U12" s="1765"/>
      <c r="V12" s="1765"/>
      <c r="W12" s="1765"/>
      <c r="X12" s="1765"/>
      <c r="Y12" s="1765"/>
      <c r="Z12" s="1765"/>
      <c r="AA12" s="1765"/>
      <c r="AC12" s="907" t="s">
        <v>197</v>
      </c>
    </row>
    <row r="13" spans="2:27" ht="13">
      <c r="B13" s="1228" t="s">
        <v>1344</v>
      </c>
      <c r="C13" s="1228" t="s">
        <v>26</v>
      </c>
      <c r="D13" s="1761" t="s">
        <v>197</v>
      </c>
      <c r="E13" s="1761"/>
      <c r="F13" s="1761"/>
      <c r="G13" s="1761"/>
      <c r="H13" s="1761"/>
      <c r="I13" s="1761"/>
      <c r="J13" s="1761"/>
      <c r="K13" s="1761"/>
      <c r="L13" s="1761"/>
      <c r="M13" s="1761"/>
      <c r="N13" s="1761"/>
      <c r="O13" s="1761"/>
      <c r="P13" s="1761"/>
      <c r="Q13" s="1761"/>
      <c r="R13" s="1761"/>
      <c r="S13" s="1761"/>
      <c r="T13" s="1761"/>
      <c r="U13" s="1761"/>
      <c r="V13" s="1761"/>
      <c r="W13" s="1761"/>
      <c r="X13" s="1761"/>
      <c r="Y13" s="1761"/>
      <c r="Z13" s="1761"/>
      <c r="AA13" s="1761"/>
    </row>
    <row r="14" spans="2:27" ht="13">
      <c r="B14" s="1229"/>
      <c r="D14" s="1761" t="s">
        <v>197</v>
      </c>
      <c r="E14" s="1761"/>
      <c r="F14" s="1761"/>
      <c r="G14" s="1761"/>
      <c r="H14" s="1761"/>
      <c r="I14" s="1761"/>
      <c r="J14" s="1761"/>
      <c r="K14" s="1761"/>
      <c r="L14" s="1761"/>
      <c r="M14" s="1761"/>
      <c r="N14" s="1761"/>
      <c r="O14" s="1761"/>
      <c r="P14" s="1761"/>
      <c r="Q14" s="1761"/>
      <c r="R14" s="1761"/>
      <c r="S14" s="1761"/>
      <c r="T14" s="1761"/>
      <c r="U14" s="1761"/>
      <c r="V14" s="1761"/>
      <c r="W14" s="1761"/>
      <c r="X14" s="1761"/>
      <c r="Y14" s="1761"/>
      <c r="Z14" s="1761"/>
      <c r="AA14" s="1761"/>
    </row>
    <row r="15" spans="4:27" s="1228" customFormat="1">
      <c r="D15" s="1761" t="s">
        <v>197</v>
      </c>
      <c r="E15" s="1761"/>
      <c r="F15" s="1761"/>
      <c r="G15" s="1761"/>
      <c r="H15" s="1761"/>
      <c r="I15" s="1761"/>
      <c r="J15" s="1761"/>
      <c r="K15" s="1761"/>
      <c r="L15" s="1761"/>
      <c r="M15" s="1761"/>
      <c r="N15" s="1761"/>
      <c r="O15" s="1761"/>
      <c r="P15" s="1761"/>
      <c r="Q15" s="1761"/>
      <c r="R15" s="1761"/>
      <c r="S15" s="1761"/>
      <c r="T15" s="1761"/>
      <c r="U15" s="1761"/>
      <c r="V15" s="1761"/>
      <c r="W15" s="1761"/>
      <c r="X15" s="1761"/>
      <c r="Y15" s="1761"/>
      <c r="Z15" s="1761"/>
      <c r="AA15" s="1761"/>
    </row>
    <row r="16" spans="4:27" s="1228" customFormat="1">
      <c r="D16" s="1761" t="s">
        <v>197</v>
      </c>
      <c r="E16" s="1761"/>
      <c r="F16" s="1761"/>
      <c r="G16" s="1761"/>
      <c r="H16" s="1761"/>
      <c r="I16" s="1761"/>
      <c r="J16" s="1761"/>
      <c r="K16" s="1761"/>
      <c r="L16" s="1761"/>
      <c r="M16" s="1761"/>
      <c r="N16" s="1761"/>
      <c r="O16" s="1761"/>
      <c r="P16" s="1761"/>
      <c r="Q16" s="1761"/>
      <c r="R16" s="1761"/>
      <c r="S16" s="1761"/>
      <c r="T16" s="1761"/>
      <c r="U16" s="1761"/>
      <c r="V16" s="1761"/>
      <c r="W16" s="1761"/>
      <c r="X16" s="1761"/>
      <c r="Y16" s="1761"/>
      <c r="Z16" s="1761"/>
      <c r="AA16" s="1761"/>
    </row>
    <row r="17" spans="4:27" s="1228" customFormat="1">
      <c r="D17" s="1230"/>
      <c r="E17" s="1230"/>
      <c r="F17" s="1230"/>
      <c r="G17" s="1230"/>
      <c r="H17" s="1230"/>
      <c r="I17" s="1230"/>
      <c r="J17" s="1230"/>
      <c r="K17" s="1230"/>
      <c r="L17" s="1230"/>
      <c r="M17" s="1230"/>
      <c r="N17" s="1230"/>
      <c r="O17" s="1230"/>
      <c r="P17" s="1230"/>
      <c r="Q17" s="1230"/>
      <c r="R17" s="1230"/>
      <c r="S17" s="1230"/>
      <c r="T17" s="1230"/>
      <c r="U17" s="1230"/>
      <c r="V17" s="1230"/>
      <c r="W17" s="1230"/>
      <c r="X17" s="1230"/>
      <c r="Y17" s="1230"/>
      <c r="Z17" s="1230"/>
      <c r="AA17" s="1230"/>
    </row>
    <row r="18" spans="1:1">
      <c r="A18" s="1228" t="s">
        <v>1328</v>
      </c>
    </row>
    <row r="19" spans="1:2" s="1228" customFormat="1" ht="13">
      <c r="A19" s="1244" t="s">
        <v>1336</v>
      </c>
      <c r="B19" s="1229"/>
    </row>
    <row r="20" spans="2:2" s="1228" customFormat="1">
      <c r="B20" s="1231"/>
    </row>
    <row r="21" spans="2:28" s="1228" customFormat="1" ht="13">
      <c r="B21" s="1231" t="s">
        <v>1338</v>
      </c>
      <c r="D21" s="1231" t="s">
        <v>1339</v>
      </c>
      <c r="I21" s="1232"/>
      <c r="J21" s="1232"/>
      <c r="N21" s="1231" t="s">
        <v>1340</v>
      </c>
      <c r="R21" s="1228"/>
      <c r="S21" s="1228"/>
      <c r="T21" s="1228"/>
      <c r="U21" s="1228"/>
      <c r="V21" s="1228"/>
      <c r="W21" s="1228"/>
      <c r="X21" s="1228"/>
      <c r="Y21" s="1228"/>
      <c r="Z21" s="1228"/>
      <c r="AA21" s="1228"/>
      <c r="AB21" s="1228"/>
    </row>
    <row r="22" spans="2:28" s="1228" customFormat="1" ht="13">
      <c r="B22" s="1240"/>
      <c r="C22" s="1241"/>
      <c r="D22" s="1241"/>
      <c r="E22" s="1241"/>
      <c r="F22" s="1241"/>
      <c r="G22" s="1241"/>
      <c r="H22" s="1241"/>
      <c r="I22" s="1242"/>
      <c r="J22" s="1242"/>
      <c r="K22" s="1241"/>
      <c r="L22" s="1241"/>
      <c r="M22" s="1241"/>
      <c r="N22" s="1241"/>
      <c r="R22" s="1228"/>
      <c r="S22" s="1228"/>
      <c r="T22" s="1228"/>
      <c r="U22" s="1228"/>
      <c r="V22" s="1228"/>
      <c r="W22" s="1228"/>
      <c r="X22" s="1228"/>
      <c r="Y22" s="1228"/>
      <c r="Z22" s="1228"/>
      <c r="AA22" s="1228"/>
      <c r="AB22" s="1228"/>
    </row>
    <row r="23" spans="2:28" s="1228" customFormat="1">
      <c r="B23" s="1241"/>
      <c r="C23" s="1241"/>
      <c r="D23" s="1241"/>
      <c r="E23" s="1241"/>
      <c r="F23" s="1241"/>
      <c r="G23" s="1241"/>
      <c r="H23" s="1241"/>
      <c r="I23" s="1242"/>
      <c r="J23" s="1242"/>
      <c r="K23" s="1241"/>
      <c r="L23" s="1241"/>
      <c r="M23" s="1241"/>
      <c r="N23" s="1241"/>
      <c r="R23" s="1228"/>
      <c r="S23" s="1228"/>
      <c r="T23" s="1228"/>
      <c r="U23" s="1228"/>
      <c r="V23" s="1228"/>
      <c r="W23" s="1228"/>
      <c r="X23" s="1228"/>
      <c r="Y23" s="1228"/>
      <c r="Z23" s="1228"/>
      <c r="AA23" s="1228"/>
      <c r="AB23" s="1228"/>
    </row>
    <row r="24" spans="2:28" s="1228" customFormat="1">
      <c r="B24" s="1241"/>
      <c r="C24" s="1241"/>
      <c r="D24" s="1241"/>
      <c r="E24" s="1241"/>
      <c r="F24" s="1241"/>
      <c r="G24" s="1241"/>
      <c r="H24" s="1241"/>
      <c r="I24" s="1242"/>
      <c r="J24" s="1242"/>
      <c r="K24" s="1241"/>
      <c r="L24" s="1241"/>
      <c r="M24" s="1241"/>
      <c r="N24" s="1241"/>
      <c r="R24" s="1228"/>
      <c r="S24" s="1228"/>
      <c r="T24" s="1228"/>
      <c r="U24" s="1228"/>
      <c r="V24" s="1228"/>
      <c r="W24" s="1228"/>
      <c r="X24" s="1228"/>
      <c r="Y24" s="1228"/>
      <c r="Z24" s="1228"/>
      <c r="AA24" s="1228"/>
      <c r="AB24" s="1228"/>
    </row>
    <row r="25" spans="2:28" s="1228" customFormat="1">
      <c r="B25" s="1241"/>
      <c r="C25" s="1241"/>
      <c r="D25" s="1241"/>
      <c r="E25" s="1241"/>
      <c r="F25" s="1241"/>
      <c r="G25" s="1241"/>
      <c r="H25" s="1241"/>
      <c r="I25" s="1242"/>
      <c r="J25" s="1242"/>
      <c r="K25" s="1241"/>
      <c r="L25" s="1241"/>
      <c r="M25" s="1241"/>
      <c r="N25" s="1241"/>
      <c r="R25" s="1228"/>
      <c r="S25" s="1228"/>
      <c r="T25" s="1228"/>
      <c r="U25" s="1228"/>
      <c r="V25" s="1228"/>
      <c r="W25" s="1228"/>
      <c r="X25" s="1228"/>
      <c r="Y25" s="1228"/>
      <c r="Z25" s="1228"/>
      <c r="AA25" s="1228"/>
      <c r="AB25" s="1228"/>
    </row>
    <row r="26" spans="2:28" s="1228" customFormat="1">
      <c r="B26" s="1241"/>
      <c r="C26" s="1241"/>
      <c r="D26" s="1241"/>
      <c r="E26" s="1241"/>
      <c r="F26" s="1241"/>
      <c r="G26" s="1241"/>
      <c r="H26" s="1241"/>
      <c r="I26" s="1242"/>
      <c r="J26" s="1242"/>
      <c r="K26" s="1241"/>
      <c r="L26" s="1241"/>
      <c r="M26" s="1241"/>
      <c r="N26" s="1241"/>
      <c r="R26" s="1228"/>
      <c r="S26" s="1228"/>
      <c r="T26" s="1228"/>
      <c r="U26" s="1228"/>
      <c r="V26" s="1228"/>
      <c r="W26" s="1228"/>
      <c r="X26" s="1228"/>
      <c r="Y26" s="1228"/>
      <c r="Z26" s="1228"/>
      <c r="AA26" s="1228"/>
      <c r="AB26" s="1228"/>
    </row>
    <row r="27" spans="9:27" s="1228" customFormat="1">
      <c r="I27" s="1232"/>
      <c r="Q27" s="1228"/>
      <c r="R27" s="1228"/>
      <c r="S27" s="1228"/>
      <c r="T27" s="1228"/>
      <c r="U27" s="1228"/>
      <c r="V27" s="1228"/>
      <c r="W27" s="1228"/>
      <c r="X27" s="1228"/>
      <c r="Y27" s="1228"/>
      <c r="Z27" s="1228"/>
      <c r="AA27" s="1228"/>
    </row>
    <row r="28" spans="1:28" s="1233" customFormat="1" ht="28.5" customHeight="1">
      <c r="A28" s="1245" t="s">
        <v>1390</v>
      </c>
      <c r="B28" s="1245"/>
      <c r="C28" s="1245"/>
      <c r="D28" s="1245"/>
      <c r="E28" s="1245"/>
      <c r="F28" s="1245"/>
      <c r="G28" s="1245"/>
      <c r="H28" s="1245"/>
      <c r="I28" s="1245"/>
      <c r="J28" s="1245"/>
      <c r="K28" s="1245"/>
      <c r="L28" s="1245"/>
      <c r="M28" s="1245"/>
      <c r="N28" s="1245"/>
      <c r="O28" s="1245"/>
      <c r="P28" s="1245"/>
      <c r="Q28" s="1245"/>
      <c r="R28" s="1245"/>
      <c r="S28" s="1245"/>
      <c r="T28" s="1245"/>
      <c r="U28" s="1245"/>
      <c r="V28" s="1245"/>
      <c r="W28" s="1245"/>
      <c r="X28" s="1245"/>
      <c r="Y28" s="1245"/>
      <c r="Z28" s="1245"/>
      <c r="AA28" s="1245"/>
      <c r="AB28" s="1280" t="s">
        <v>1389</v>
      </c>
    </row>
    <row r="29" spans="1:28" s="1228" customFormat="1" ht="26.25" customHeight="1">
      <c r="A29" s="1762" t="s">
        <v>1388</v>
      </c>
      <c r="B29" s="1762"/>
      <c r="C29" s="1762"/>
      <c r="D29" s="1762"/>
      <c r="E29" s="1762"/>
      <c r="F29" s="1762"/>
      <c r="G29" s="1762"/>
      <c r="H29" s="1762"/>
      <c r="I29" s="1762"/>
      <c r="J29" s="1762"/>
      <c r="K29" s="1762"/>
      <c r="L29" s="1762"/>
      <c r="M29" s="1762"/>
      <c r="N29" s="1762"/>
      <c r="O29" s="1762"/>
      <c r="P29" s="1762"/>
      <c r="Q29" s="1762"/>
      <c r="R29" s="1762"/>
      <c r="S29" s="1762"/>
      <c r="T29" s="1762"/>
      <c r="U29" s="1762"/>
      <c r="V29" s="1762"/>
      <c r="W29" s="1762"/>
      <c r="X29" s="1762"/>
      <c r="Y29" s="1762"/>
      <c r="Z29" s="1762"/>
      <c r="AA29" s="1762"/>
      <c r="AB29" s="1280" t="s">
        <v>1389</v>
      </c>
    </row>
    <row r="30" spans="1:27" s="1228" customFormat="1">
      <c r="A30" s="1245"/>
      <c r="B30" s="1245"/>
      <c r="C30" s="1245"/>
      <c r="D30" s="1245"/>
      <c r="E30" s="1245"/>
      <c r="F30" s="1245"/>
      <c r="G30" s="1245"/>
      <c r="H30" s="1245"/>
      <c r="I30" s="1245"/>
      <c r="J30" s="1245"/>
      <c r="K30" s="1245"/>
      <c r="L30" s="1245"/>
      <c r="M30" s="1245"/>
      <c r="N30" s="1245"/>
      <c r="O30" s="1245"/>
      <c r="P30" s="1245"/>
      <c r="Q30" s="1245"/>
      <c r="R30" s="1245"/>
      <c r="S30" s="1245"/>
      <c r="T30" s="1245"/>
      <c r="U30" s="1245"/>
      <c r="V30" s="1245"/>
      <c r="W30" s="1245"/>
      <c r="X30" s="1245"/>
      <c r="Y30" s="1245"/>
      <c r="Z30" s="1245"/>
      <c r="AA30" s="1245"/>
    </row>
    <row r="31" spans="1:57" s="1228" customFormat="1">
      <c r="A31" s="1228" t="s">
        <v>1329</v>
      </c>
      <c r="B31" s="1231"/>
      <c r="C31" s="1228"/>
      <c r="D31" s="1228"/>
      <c r="E31" s="1228"/>
      <c r="F31" s="1228"/>
      <c r="G31" s="1228"/>
      <c r="H31" s="1228"/>
      <c r="I31" s="1228"/>
      <c r="J31" s="1228"/>
      <c r="K31" s="1228"/>
      <c r="L31" s="1228"/>
      <c r="M31" s="1228"/>
      <c r="N31" s="1228"/>
      <c r="O31" s="1228"/>
      <c r="P31" s="1228"/>
      <c r="Q31" s="1228"/>
      <c r="AC31" s="907"/>
      <c r="AD31" s="907"/>
      <c r="AE31" s="907"/>
      <c r="AF31" s="907"/>
      <c r="AG31" s="907"/>
      <c r="AH31" s="907"/>
      <c r="AI31" s="907"/>
      <c r="AJ31" s="907"/>
      <c r="AK31" s="907"/>
      <c r="AL31" s="907"/>
      <c r="AM31" s="907"/>
      <c r="AN31" s="907"/>
      <c r="AO31" s="907"/>
      <c r="AP31" s="907"/>
      <c r="AQ31" s="907"/>
      <c r="AR31" s="907"/>
      <c r="AS31" s="907"/>
      <c r="AT31" s="907"/>
      <c r="AU31" s="907"/>
      <c r="AV31" s="907"/>
      <c r="AW31" s="907"/>
      <c r="AX31" s="907"/>
      <c r="AY31" s="907"/>
      <c r="AZ31" s="907"/>
      <c r="BA31" s="907"/>
      <c r="BB31" s="907"/>
      <c r="BC31" s="907"/>
      <c r="BD31" s="907"/>
      <c r="BE31" s="907"/>
    </row>
    <row r="32" spans="1:1" ht="13">
      <c r="A32" s="1229" t="s">
        <v>1337</v>
      </c>
    </row>
    <row r="33" spans="1:1" ht="13">
      <c r="A33" s="1229"/>
    </row>
    <row r="35" spans="1:57" s="1228" customFormat="1">
      <c r="A35" s="1228" t="s">
        <v>1330</v>
      </c>
      <c r="K35" s="1228"/>
      <c r="AC35" s="907"/>
      <c r="AD35" s="907"/>
      <c r="AE35" s="907"/>
      <c r="AF35" s="907"/>
      <c r="AG35" s="907"/>
      <c r="AH35" s="907"/>
      <c r="AI35" s="907"/>
      <c r="AJ35" s="907"/>
      <c r="AK35" s="907"/>
      <c r="AL35" s="907"/>
      <c r="AM35" s="907"/>
      <c r="AN35" s="907"/>
      <c r="AO35" s="907"/>
      <c r="AP35" s="907"/>
      <c r="AQ35" s="907"/>
      <c r="AR35" s="907"/>
      <c r="AS35" s="907"/>
      <c r="AT35" s="907"/>
      <c r="AU35" s="907"/>
      <c r="AV35" s="907"/>
      <c r="AW35" s="907"/>
      <c r="AX35" s="907"/>
      <c r="AY35" s="907"/>
      <c r="AZ35" s="907"/>
      <c r="BA35" s="907"/>
      <c r="BB35" s="907"/>
      <c r="BC35" s="907"/>
      <c r="BD35" s="907"/>
      <c r="BE35" s="907"/>
    </row>
    <row r="37" spans="1:57" s="1228" customFormat="1">
      <c r="A37" s="1228" t="s">
        <v>1331</v>
      </c>
      <c r="B37" s="1231"/>
      <c r="D37" s="1234"/>
      <c r="E37" s="1234"/>
      <c r="F37" s="1234"/>
      <c r="G37" s="1234"/>
      <c r="H37" s="1234"/>
      <c r="I37" s="1234"/>
      <c r="J37" s="1234"/>
      <c r="K37" s="1231"/>
      <c r="P37" s="1234"/>
      <c r="Q37" s="1234"/>
      <c r="R37" s="1234"/>
      <c r="S37" s="1231"/>
      <c r="T37" s="1231"/>
      <c r="U37" s="1231"/>
      <c r="V37" s="1231"/>
      <c r="W37" s="1231"/>
      <c r="X37" s="1231"/>
      <c r="Y37" s="1234"/>
      <c r="Z37" s="1234"/>
      <c r="AC37" s="907"/>
      <c r="AD37" s="907"/>
      <c r="AE37" s="907"/>
      <c r="AF37" s="907"/>
      <c r="AG37" s="907"/>
      <c r="AH37" s="907"/>
      <c r="AI37" s="907"/>
      <c r="AJ37" s="907"/>
      <c r="AK37" s="907"/>
      <c r="AL37" s="907"/>
      <c r="AM37" s="907"/>
      <c r="AN37" s="907"/>
      <c r="AO37" s="907"/>
      <c r="AP37" s="907"/>
      <c r="AQ37" s="907"/>
      <c r="AR37" s="907"/>
      <c r="AS37" s="907"/>
      <c r="AT37" s="907"/>
      <c r="AU37" s="907"/>
      <c r="AV37" s="907"/>
      <c r="AW37" s="907"/>
      <c r="AX37" s="907"/>
      <c r="AY37" s="907"/>
      <c r="AZ37" s="907"/>
      <c r="BA37" s="907"/>
      <c r="BB37" s="907"/>
      <c r="BC37" s="907"/>
      <c r="BD37" s="907"/>
      <c r="BE37" s="907"/>
    </row>
    <row r="38" spans="2:57" s="1228" customFormat="1" ht="13">
      <c r="B38" s="1229"/>
      <c r="D38" s="1235"/>
      <c r="E38" s="1235"/>
      <c r="F38" s="1235"/>
      <c r="G38" s="1235"/>
      <c r="H38" s="1235"/>
      <c r="I38" s="1235"/>
      <c r="J38" s="1235"/>
      <c r="K38" s="1229"/>
      <c r="L38" s="1228"/>
      <c r="M38" s="1228"/>
      <c r="N38" s="1228"/>
      <c r="O38" s="1228"/>
      <c r="P38" s="1235"/>
      <c r="Q38" s="1235"/>
      <c r="R38" s="1235"/>
      <c r="S38" s="1229"/>
      <c r="T38" s="1229"/>
      <c r="U38" s="1229"/>
      <c r="V38" s="1229"/>
      <c r="W38" s="1229"/>
      <c r="X38" s="1229"/>
      <c r="Y38" s="1235"/>
      <c r="Z38" s="1235"/>
      <c r="AC38" s="907"/>
      <c r="AD38" s="907"/>
      <c r="AE38" s="907"/>
      <c r="AF38" s="907"/>
      <c r="AG38" s="907"/>
      <c r="AH38" s="907"/>
      <c r="AI38" s="907"/>
      <c r="AJ38" s="907"/>
      <c r="AK38" s="907"/>
      <c r="AL38" s="907"/>
      <c r="AM38" s="907"/>
      <c r="AN38" s="907"/>
      <c r="AO38" s="907"/>
      <c r="AP38" s="907"/>
      <c r="AQ38" s="907"/>
      <c r="AR38" s="907"/>
      <c r="AS38" s="907"/>
      <c r="AT38" s="907"/>
      <c r="AU38" s="907"/>
      <c r="AV38" s="907"/>
      <c r="AW38" s="907"/>
      <c r="AX38" s="907"/>
      <c r="AY38" s="907"/>
      <c r="AZ38" s="907"/>
      <c r="BA38" s="907"/>
      <c r="BB38" s="907"/>
      <c r="BC38" s="907"/>
      <c r="BD38" s="907"/>
      <c r="BE38" s="907"/>
    </row>
    <row r="39" spans="1:57" s="1228" customFormat="1" ht="13">
      <c r="A39" s="1236" t="s">
        <v>1341</v>
      </c>
      <c r="E39" s="1228"/>
      <c r="F39" s="1228"/>
      <c r="G39" s="1228"/>
      <c r="H39" s="1228"/>
      <c r="I39" s="1228"/>
      <c r="J39" s="1228"/>
      <c r="K39" s="1228"/>
      <c r="L39" s="1228"/>
      <c r="M39" s="1228"/>
      <c r="N39" s="1228"/>
      <c r="O39" s="1228"/>
      <c r="P39" s="1228"/>
      <c r="Q39" s="1228"/>
      <c r="R39" s="1228"/>
      <c r="S39" s="1228"/>
      <c r="T39" s="1228"/>
      <c r="U39" s="1228"/>
      <c r="V39" s="1228"/>
      <c r="W39" s="1228"/>
      <c r="X39" s="1228"/>
      <c r="AC39" s="907"/>
      <c r="AD39" s="907"/>
      <c r="AE39" s="907"/>
      <c r="AF39" s="907"/>
      <c r="AG39" s="907"/>
      <c r="AH39" s="907"/>
      <c r="AI39" s="907"/>
      <c r="AJ39" s="907"/>
      <c r="AK39" s="907"/>
      <c r="AL39" s="907"/>
      <c r="AM39" s="907"/>
      <c r="AN39" s="907"/>
      <c r="AO39" s="907"/>
      <c r="AP39" s="907"/>
      <c r="AQ39" s="907"/>
      <c r="AR39" s="907"/>
      <c r="AS39" s="907"/>
      <c r="AT39" s="907"/>
      <c r="AU39" s="907"/>
      <c r="AV39" s="907"/>
      <c r="AW39" s="907"/>
      <c r="AX39" s="907"/>
      <c r="AY39" s="907"/>
      <c r="AZ39" s="907"/>
      <c r="BA39" s="907"/>
      <c r="BB39" s="907"/>
      <c r="BC39" s="907"/>
      <c r="BD39" s="907"/>
      <c r="BE39" s="907"/>
    </row>
    <row r="40" spans="5:24" s="1228" customFormat="1">
      <c r="E40" s="1228"/>
      <c r="F40" s="1228"/>
      <c r="G40" s="1228"/>
      <c r="H40" s="1228"/>
      <c r="I40" s="1228"/>
      <c r="J40" s="1228"/>
      <c r="K40" s="1237"/>
      <c r="L40" s="1237"/>
      <c r="M40" s="1237"/>
      <c r="N40" s="1237"/>
      <c r="O40" s="1228"/>
      <c r="P40" s="1228"/>
      <c r="Q40" s="1228"/>
      <c r="R40" s="1228"/>
      <c r="S40" s="1228"/>
      <c r="T40" s="1237"/>
      <c r="U40" s="1237"/>
      <c r="V40" s="1237"/>
      <c r="W40" s="1237"/>
      <c r="X40" s="1228"/>
    </row>
    <row r="41" spans="5:24" s="1228" customFormat="1">
      <c r="E41" s="1228"/>
      <c r="F41" s="1228"/>
      <c r="G41" s="1228"/>
      <c r="H41" s="1228"/>
      <c r="I41" s="1228"/>
      <c r="J41" s="1228"/>
      <c r="K41" s="1237"/>
      <c r="L41" s="1237"/>
      <c r="M41" s="1237"/>
      <c r="N41" s="1237"/>
      <c r="O41" s="1228"/>
      <c r="P41" s="1228"/>
      <c r="Q41" s="1228"/>
      <c r="R41" s="1228"/>
      <c r="S41" s="1228"/>
      <c r="T41" s="1237"/>
      <c r="U41" s="1237"/>
      <c r="V41" s="1237"/>
      <c r="W41" s="1237"/>
      <c r="X41" s="1228"/>
    </row>
    <row r="42" spans="5:24">
      <c r="E42" s="1228"/>
      <c r="F42" s="1228"/>
      <c r="G42" s="1228"/>
      <c r="H42" s="1228"/>
      <c r="I42" s="1228"/>
      <c r="J42" s="1228"/>
      <c r="K42" s="1228"/>
      <c r="L42" s="1228"/>
      <c r="M42" s="1228"/>
      <c r="N42" s="1228"/>
      <c r="O42" s="1228"/>
      <c r="P42" s="1228"/>
      <c r="Q42" s="1228"/>
      <c r="R42" s="1228"/>
      <c r="S42" s="1228"/>
      <c r="T42" s="1237"/>
      <c r="U42" s="1237"/>
      <c r="V42" s="1237"/>
      <c r="W42" s="1237"/>
      <c r="X42" s="1228"/>
    </row>
    <row r="43" spans="5:57">
      <c r="E43" s="1228"/>
      <c r="F43" s="1228"/>
      <c r="G43" s="1228"/>
      <c r="H43" s="1228"/>
      <c r="I43" s="1228"/>
      <c r="J43" s="1228"/>
      <c r="K43" s="1228"/>
      <c r="L43" s="1228"/>
      <c r="M43" s="1228"/>
      <c r="N43" s="1228"/>
      <c r="O43" s="1228"/>
      <c r="P43" s="1228"/>
      <c r="Q43" s="1228"/>
      <c r="R43" s="1228"/>
      <c r="S43" s="1228"/>
      <c r="T43" s="1228"/>
      <c r="U43" s="1228"/>
      <c r="V43" s="1228"/>
      <c r="W43" s="1228"/>
      <c r="X43" s="1228"/>
      <c r="AF43" s="1228"/>
      <c r="AG43" s="1228"/>
      <c r="AH43" s="1228"/>
      <c r="AI43" s="1228"/>
      <c r="AJ43" s="1228"/>
      <c r="AK43" s="1228"/>
      <c r="AL43" s="1228"/>
      <c r="AM43" s="1228"/>
      <c r="AN43" s="1228"/>
      <c r="AO43" s="1228"/>
      <c r="AP43" s="1228"/>
      <c r="AQ43" s="1228"/>
      <c r="AR43" s="1228"/>
      <c r="AS43" s="1228"/>
      <c r="AT43" s="1228"/>
      <c r="AU43" s="1228"/>
      <c r="AV43" s="1228"/>
      <c r="AW43" s="1228"/>
      <c r="AX43" s="1228"/>
      <c r="AY43" s="1228"/>
      <c r="AZ43" s="1228"/>
      <c r="BA43" s="1228"/>
      <c r="BB43" s="1228"/>
      <c r="BC43" s="1228"/>
      <c r="BD43" s="1228"/>
      <c r="BE43" s="1228"/>
    </row>
    <row r="44" spans="5:57">
      <c r="E44" s="1228"/>
      <c r="F44" s="1228"/>
      <c r="G44" s="1228"/>
      <c r="H44" s="1228"/>
      <c r="I44" s="1228"/>
      <c r="J44" s="1228"/>
      <c r="K44" s="1228"/>
      <c r="L44" s="1228"/>
      <c r="M44" s="1228"/>
      <c r="N44" s="1228"/>
      <c r="O44" s="1228"/>
      <c r="P44" s="1228"/>
      <c r="Q44" s="1228"/>
      <c r="R44" s="1228"/>
      <c r="S44" s="1228"/>
      <c r="AF44" s="1228"/>
      <c r="AG44" s="1228"/>
      <c r="AH44" s="1228"/>
      <c r="AI44" s="1228"/>
      <c r="AJ44" s="1228"/>
      <c r="AK44" s="1228"/>
      <c r="AL44" s="1228"/>
      <c r="AM44" s="1228"/>
      <c r="AN44" s="1228"/>
      <c r="AO44" s="1228"/>
      <c r="AP44" s="1228"/>
      <c r="AQ44" s="1228"/>
      <c r="AR44" s="1228"/>
      <c r="AS44" s="1228"/>
      <c r="AT44" s="1228"/>
      <c r="AU44" s="1228"/>
      <c r="AV44" s="1228"/>
      <c r="AW44" s="1228"/>
      <c r="AX44" s="1228"/>
      <c r="AY44" s="1228"/>
      <c r="AZ44" s="1228"/>
      <c r="BA44" s="1228"/>
      <c r="BB44" s="1228"/>
      <c r="BC44" s="1228"/>
      <c r="BD44" s="1228"/>
      <c r="BE44" s="1228"/>
    </row>
    <row r="45" spans="1:57">
      <c r="A45" s="1246">
        <f>D9</f>
        <v>0</v>
      </c>
      <c r="B45" s="1239"/>
      <c r="C45" s="1232"/>
      <c r="D45" s="1228"/>
      <c r="E45" s="1228"/>
      <c r="F45" s="1228"/>
      <c r="G45" s="1228"/>
      <c r="H45" s="1228"/>
      <c r="I45" s="1228"/>
      <c r="J45" s="1228"/>
      <c r="K45" s="1231"/>
      <c r="L45" s="1228"/>
      <c r="M45" s="1228"/>
      <c r="N45" s="1228"/>
      <c r="O45" s="1228"/>
      <c r="P45" s="1228"/>
      <c r="Q45" s="1228"/>
      <c r="R45" s="1228"/>
      <c r="S45" s="1228"/>
      <c r="T45" s="1228"/>
      <c r="U45" s="1228"/>
      <c r="V45" s="1228"/>
      <c r="W45" s="1228"/>
      <c r="X45" s="1228"/>
      <c r="Y45" s="1228"/>
      <c r="Z45" s="1228"/>
      <c r="AF45" s="1228"/>
      <c r="AG45" s="1228"/>
      <c r="AH45" s="1228"/>
      <c r="AI45" s="1228"/>
      <c r="AJ45" s="1228"/>
      <c r="AK45" s="1228"/>
      <c r="AL45" s="1228"/>
      <c r="AM45" s="1228"/>
      <c r="AN45" s="1228"/>
      <c r="AO45" s="1228"/>
      <c r="AP45" s="1228"/>
      <c r="AQ45" s="1228"/>
      <c r="AR45" s="1228"/>
      <c r="AS45" s="1228"/>
      <c r="AT45" s="1228"/>
      <c r="AU45" s="1228"/>
      <c r="AV45" s="1228"/>
      <c r="AW45" s="1228"/>
      <c r="AX45" s="1228"/>
      <c r="AY45" s="1228"/>
      <c r="AZ45" s="1228"/>
      <c r="BA45" s="1228"/>
      <c r="BB45" s="1228"/>
      <c r="BC45" s="1228"/>
      <c r="BD45" s="1228"/>
      <c r="BE45" s="1228"/>
    </row>
    <row r="46" spans="1:57">
      <c r="A46" s="1228" t="s">
        <v>197</v>
      </c>
      <c r="E46" s="1228"/>
      <c r="F46" s="1228"/>
      <c r="G46" s="1228"/>
      <c r="H46" s="1228"/>
      <c r="I46" s="1228"/>
      <c r="J46" s="1228"/>
      <c r="K46" s="1228"/>
      <c r="L46" s="1228"/>
      <c r="M46" s="1228"/>
      <c r="N46" s="1228"/>
      <c r="O46" s="1228"/>
      <c r="P46" s="1228"/>
      <c r="Q46" s="1228"/>
      <c r="R46" s="1228"/>
      <c r="S46" s="1228"/>
      <c r="AF46" s="1228"/>
      <c r="AG46" s="1228"/>
      <c r="AH46" s="1228"/>
      <c r="AI46" s="1228"/>
      <c r="AJ46" s="1228"/>
      <c r="AK46" s="1228"/>
      <c r="AL46" s="1228"/>
      <c r="AM46" s="1228"/>
      <c r="AN46" s="1228"/>
      <c r="AO46" s="1228"/>
      <c r="AP46" s="1228"/>
      <c r="AQ46" s="1228"/>
      <c r="AR46" s="1228"/>
      <c r="AS46" s="1228"/>
      <c r="AT46" s="1228"/>
      <c r="AU46" s="1228"/>
      <c r="AV46" s="1228"/>
      <c r="AW46" s="1228"/>
      <c r="AX46" s="1228"/>
      <c r="AY46" s="1228"/>
      <c r="AZ46" s="1228"/>
      <c r="BA46" s="1228"/>
      <c r="BB46" s="1228"/>
      <c r="BC46" s="1228"/>
      <c r="BD46" s="1228"/>
      <c r="BE46" s="1228"/>
    </row>
    <row r="47" spans="32:57">
      <c r="AF47" s="1228"/>
      <c r="AG47" s="1228"/>
      <c r="AH47" s="1228"/>
      <c r="AI47" s="1228"/>
      <c r="AJ47" s="1228"/>
      <c r="AK47" s="1228"/>
      <c r="AL47" s="1228"/>
      <c r="AM47" s="1228"/>
      <c r="AN47" s="1228"/>
      <c r="AO47" s="1228"/>
      <c r="AP47" s="1228"/>
      <c r="AQ47" s="1228"/>
      <c r="AR47" s="1228"/>
      <c r="AS47" s="1228"/>
      <c r="AT47" s="1228"/>
      <c r="AU47" s="1228"/>
      <c r="AV47" s="1228"/>
      <c r="AW47" s="1228"/>
      <c r="AX47" s="1228"/>
      <c r="AY47" s="1228"/>
      <c r="AZ47" s="1228"/>
      <c r="BA47" s="1228"/>
      <c r="BB47" s="1228"/>
      <c r="BC47" s="1228"/>
      <c r="BD47" s="1228"/>
      <c r="BE47" s="1228"/>
    </row>
    <row r="48" spans="1:57">
      <c r="A48" s="1228" t="s">
        <v>1332</v>
      </c>
      <c r="AF48" s="1228"/>
      <c r="AG48" s="1228"/>
      <c r="AH48" s="1228"/>
      <c r="AI48" s="1228"/>
      <c r="AJ48" s="1228"/>
      <c r="AK48" s="1228"/>
      <c r="AL48" s="1228"/>
      <c r="AM48" s="1228"/>
      <c r="AN48" s="1228"/>
      <c r="AO48" s="1228"/>
      <c r="AP48" s="1228"/>
      <c r="AQ48" s="1228"/>
      <c r="AR48" s="1228"/>
      <c r="AS48" s="1228"/>
      <c r="AT48" s="1228"/>
      <c r="AU48" s="1228"/>
      <c r="AV48" s="1228"/>
      <c r="AW48" s="1228"/>
      <c r="AX48" s="1228"/>
      <c r="AY48" s="1228"/>
      <c r="AZ48" s="1228"/>
      <c r="BA48" s="1228"/>
      <c r="BB48" s="1228"/>
      <c r="BC48" s="1228"/>
      <c r="BD48" s="1228"/>
      <c r="BE48" s="1228"/>
    </row>
    <row r="49" spans="1:57" ht="13">
      <c r="A49" s="1236" t="s">
        <v>1333</v>
      </c>
      <c r="AF49" s="1228"/>
      <c r="AG49" s="1228"/>
      <c r="AH49" s="1228"/>
      <c r="AI49" s="1228"/>
      <c r="AJ49" s="1228"/>
      <c r="AK49" s="1228"/>
      <c r="AL49" s="1228"/>
      <c r="AM49" s="1228"/>
      <c r="AN49" s="1228"/>
      <c r="AO49" s="1228"/>
      <c r="AP49" s="1228"/>
      <c r="AQ49" s="1228"/>
      <c r="AR49" s="1228"/>
      <c r="AS49" s="1228"/>
      <c r="AT49" s="1228"/>
      <c r="AU49" s="1228"/>
      <c r="AV49" s="1228"/>
      <c r="AW49" s="1228"/>
      <c r="AX49" s="1228"/>
      <c r="AY49" s="1228"/>
      <c r="AZ49" s="1228"/>
      <c r="BA49" s="1228"/>
      <c r="BB49" s="1228"/>
      <c r="BC49" s="1228"/>
      <c r="BD49" s="1228"/>
      <c r="BE49" s="1228"/>
    </row>
    <row r="50" spans="1:57">
      <c r="A50" s="1228"/>
      <c r="B50" s="1228"/>
      <c r="C50" s="1228"/>
      <c r="D50" s="1228"/>
      <c r="E50" s="1228"/>
      <c r="F50" s="1228"/>
      <c r="G50" s="1228"/>
      <c r="H50" s="1228"/>
      <c r="I50" s="1228"/>
      <c r="J50" s="1228"/>
      <c r="K50" s="1228"/>
      <c r="L50" s="1228"/>
      <c r="M50" s="1228"/>
      <c r="N50" s="1228"/>
      <c r="O50" s="1228"/>
      <c r="P50" s="1228"/>
      <c r="Q50" s="1228"/>
      <c r="R50" s="1228"/>
      <c r="S50" s="1228"/>
      <c r="T50" s="1228"/>
      <c r="U50" s="1228"/>
      <c r="V50" s="1228"/>
      <c r="W50" s="1228"/>
      <c r="AF50" s="1228"/>
      <c r="AG50" s="1228"/>
      <c r="AH50" s="1228"/>
      <c r="AI50" s="1228"/>
      <c r="AJ50" s="1228"/>
      <c r="AK50" s="1228"/>
      <c r="AL50" s="1228"/>
      <c r="AM50" s="1228"/>
      <c r="AN50" s="1228"/>
      <c r="AO50" s="1228"/>
      <c r="AP50" s="1228"/>
      <c r="AQ50" s="1228"/>
      <c r="AR50" s="1228"/>
      <c r="AS50" s="1228"/>
      <c r="AT50" s="1228"/>
      <c r="AU50" s="1228"/>
      <c r="AV50" s="1228"/>
      <c r="AW50" s="1228"/>
      <c r="AX50" s="1228"/>
      <c r="AY50" s="1228"/>
      <c r="AZ50" s="1228"/>
      <c r="BA50" s="1228"/>
      <c r="BB50" s="1228"/>
      <c r="BC50" s="1228"/>
      <c r="BD50" s="1228"/>
      <c r="BE50" s="1228"/>
    </row>
    <row r="51" spans="1:57">
      <c r="A51" s="1228"/>
      <c r="B51" s="1228"/>
      <c r="C51" s="1228"/>
      <c r="D51" s="1228"/>
      <c r="E51" s="1228"/>
      <c r="F51" s="1228"/>
      <c r="G51" s="1228"/>
      <c r="H51" s="1228"/>
      <c r="I51" s="1228"/>
      <c r="J51" s="1228"/>
      <c r="K51" s="1228"/>
      <c r="L51" s="1228"/>
      <c r="M51" s="1228"/>
      <c r="N51" s="1228"/>
      <c r="O51" s="1228"/>
      <c r="P51" s="1228"/>
      <c r="Q51" s="1228"/>
      <c r="R51" s="1228"/>
      <c r="S51" s="1228"/>
      <c r="T51" s="1228"/>
      <c r="U51" s="1228"/>
      <c r="V51" s="1228"/>
      <c r="W51" s="1228"/>
      <c r="AF51" s="1228"/>
      <c r="AG51" s="1228"/>
      <c r="AH51" s="1228"/>
      <c r="AI51" s="1228"/>
      <c r="AJ51" s="1228"/>
      <c r="AK51" s="1228"/>
      <c r="AL51" s="1228"/>
      <c r="AM51" s="1228"/>
      <c r="AN51" s="1228"/>
      <c r="AO51" s="1228"/>
      <c r="AP51" s="1228"/>
      <c r="AQ51" s="1228"/>
      <c r="AR51" s="1228"/>
      <c r="AS51" s="1228"/>
      <c r="AT51" s="1228"/>
      <c r="AU51" s="1228"/>
      <c r="AV51" s="1228"/>
      <c r="AW51" s="1228"/>
      <c r="AX51" s="1228"/>
      <c r="AY51" s="1228"/>
      <c r="AZ51" s="1228"/>
      <c r="BA51" s="1228"/>
      <c r="BB51" s="1228"/>
      <c r="BC51" s="1228"/>
      <c r="BD51" s="1228"/>
      <c r="BE51" s="1228"/>
    </row>
    <row r="52" spans="1:57">
      <c r="A52" s="1228"/>
      <c r="B52" s="1228"/>
      <c r="C52" s="1228"/>
      <c r="D52" s="1228"/>
      <c r="E52" s="1228"/>
      <c r="F52" s="1228"/>
      <c r="G52" s="1228"/>
      <c r="H52" s="1228"/>
      <c r="I52" s="1228"/>
      <c r="J52" s="1228"/>
      <c r="K52" s="1228"/>
      <c r="L52" s="1228"/>
      <c r="M52" s="1228"/>
      <c r="N52" s="1228"/>
      <c r="O52" s="1228"/>
      <c r="P52" s="1228"/>
      <c r="Q52" s="1228"/>
      <c r="R52" s="1228"/>
      <c r="S52" s="1228"/>
      <c r="T52" s="1228"/>
      <c r="U52" s="1228"/>
      <c r="V52" s="1228"/>
      <c r="W52" s="1228"/>
      <c r="AF52" s="1228"/>
      <c r="AG52" s="1228"/>
      <c r="AH52" s="1228"/>
      <c r="AI52" s="1228"/>
      <c r="AJ52" s="1228"/>
      <c r="AK52" s="1228"/>
      <c r="AL52" s="1228"/>
      <c r="AM52" s="1228"/>
      <c r="AN52" s="1228"/>
      <c r="AO52" s="1228"/>
      <c r="AP52" s="1228"/>
      <c r="AQ52" s="1228"/>
      <c r="AR52" s="1228"/>
      <c r="AS52" s="1228"/>
      <c r="AT52" s="1228"/>
      <c r="AU52" s="1228"/>
      <c r="AV52" s="1228"/>
      <c r="AW52" s="1228"/>
      <c r="AX52" s="1228"/>
      <c r="AY52" s="1228"/>
      <c r="AZ52" s="1228"/>
      <c r="BA52" s="1228"/>
      <c r="BB52" s="1228"/>
      <c r="BC52" s="1228"/>
      <c r="BD52" s="1228"/>
      <c r="BE52" s="1228"/>
    </row>
    <row r="53" spans="1:57">
      <c r="A53" s="1228"/>
      <c r="B53" s="1228"/>
      <c r="C53" s="1228"/>
      <c r="D53" s="1228"/>
      <c r="E53" s="1228"/>
      <c r="F53" s="1228"/>
      <c r="G53" s="1228"/>
      <c r="H53" s="1228"/>
      <c r="I53" s="1228"/>
      <c r="J53" s="1228"/>
      <c r="K53" s="1228"/>
      <c r="L53" s="1228"/>
      <c r="M53" s="1228"/>
      <c r="N53" s="1228"/>
      <c r="O53" s="1228"/>
      <c r="P53" s="1228"/>
      <c r="Q53" s="1228"/>
      <c r="R53" s="1228"/>
      <c r="S53" s="1228"/>
      <c r="T53" s="1228"/>
      <c r="U53" s="1228"/>
      <c r="V53" s="1228"/>
      <c r="W53" s="1228"/>
      <c r="AF53" s="1228"/>
      <c r="AG53" s="1228"/>
      <c r="AH53" s="1228"/>
      <c r="AI53" s="1228"/>
      <c r="AJ53" s="1228"/>
      <c r="AK53" s="1228"/>
      <c r="AL53" s="1228"/>
      <c r="AM53" s="1228"/>
      <c r="AN53" s="1228"/>
      <c r="AO53" s="1228"/>
      <c r="AP53" s="1228"/>
      <c r="AQ53" s="1228"/>
      <c r="AR53" s="1228"/>
      <c r="AS53" s="1228"/>
      <c r="AT53" s="1228"/>
      <c r="AU53" s="1228"/>
      <c r="AV53" s="1228"/>
      <c r="AW53" s="1228"/>
      <c r="AX53" s="1228"/>
      <c r="AY53" s="1228"/>
      <c r="AZ53" s="1228"/>
      <c r="BA53" s="1228"/>
      <c r="BB53" s="1228"/>
      <c r="BC53" s="1228"/>
      <c r="BD53" s="1228"/>
      <c r="BE53" s="1228"/>
    </row>
    <row r="54" spans="1:57">
      <c r="A54" s="1228"/>
      <c r="B54" s="1228"/>
      <c r="C54" s="1228"/>
      <c r="D54" s="1228"/>
      <c r="E54" s="1228"/>
      <c r="F54" s="1228"/>
      <c r="G54" s="1228"/>
      <c r="H54" s="1228"/>
      <c r="I54" s="1228"/>
      <c r="J54" s="1228"/>
      <c r="K54" s="1228"/>
      <c r="L54" s="1228"/>
      <c r="M54" s="1228"/>
      <c r="N54" s="1228"/>
      <c r="O54" s="1228"/>
      <c r="P54" s="1228"/>
      <c r="Q54" s="1228"/>
      <c r="R54" s="1228"/>
      <c r="S54" s="1228"/>
      <c r="T54" s="1228"/>
      <c r="U54" s="1228"/>
      <c r="V54" s="1228"/>
      <c r="W54" s="1228"/>
      <c r="AF54" s="1228"/>
      <c r="AG54" s="1228"/>
      <c r="AH54" s="1228"/>
      <c r="AI54" s="1228"/>
      <c r="AJ54" s="1228"/>
      <c r="AK54" s="1228"/>
      <c r="AL54" s="1228"/>
      <c r="AM54" s="1228"/>
      <c r="AN54" s="1228"/>
      <c r="AO54" s="1228"/>
      <c r="AP54" s="1228"/>
      <c r="AQ54" s="1228"/>
      <c r="AR54" s="1228"/>
      <c r="AS54" s="1228"/>
      <c r="AT54" s="1228"/>
      <c r="AU54" s="1228"/>
      <c r="AV54" s="1228"/>
      <c r="AW54" s="1228"/>
      <c r="AX54" s="1228"/>
      <c r="AY54" s="1228"/>
      <c r="AZ54" s="1228"/>
      <c r="BA54" s="1228"/>
      <c r="BB54" s="1228"/>
      <c r="BC54" s="1228"/>
      <c r="BD54" s="1228"/>
      <c r="BE54" s="1228"/>
    </row>
    <row r="55" spans="1:57">
      <c r="A55" s="1238"/>
      <c r="B55" s="1238"/>
      <c r="C55" s="1228"/>
      <c r="D55" s="1228"/>
      <c r="E55" s="1228"/>
      <c r="F55" s="1228"/>
      <c r="G55" s="1228"/>
      <c r="H55" s="1238"/>
      <c r="I55" s="1238"/>
      <c r="J55" s="1238"/>
      <c r="K55" s="1238"/>
      <c r="L55" s="1238"/>
      <c r="M55" s="1238"/>
      <c r="N55" s="1238"/>
      <c r="O55" s="1238"/>
      <c r="P55" s="1238"/>
      <c r="Q55" s="1228"/>
      <c r="R55" s="1228"/>
      <c r="S55" s="1228"/>
      <c r="T55" s="1228"/>
      <c r="U55" s="1228"/>
      <c r="V55" s="1228"/>
      <c r="W55" s="1228"/>
      <c r="AF55" s="1228"/>
      <c r="AG55" s="1228"/>
      <c r="AH55" s="1228"/>
      <c r="AI55" s="1228"/>
      <c r="AJ55" s="1228"/>
      <c r="AK55" s="1228"/>
      <c r="AL55" s="1228"/>
      <c r="AM55" s="1228"/>
      <c r="AN55" s="1228"/>
      <c r="AO55" s="1228"/>
      <c r="AP55" s="1228"/>
      <c r="AQ55" s="1228"/>
      <c r="AR55" s="1228"/>
      <c r="AS55" s="1228"/>
      <c r="AT55" s="1228"/>
      <c r="AU55" s="1228"/>
      <c r="AV55" s="1228"/>
      <c r="AW55" s="1228"/>
      <c r="AX55" s="1228"/>
      <c r="AY55" s="1228"/>
      <c r="AZ55" s="1228"/>
      <c r="BA55" s="1228"/>
      <c r="BB55" s="1228"/>
      <c r="BC55" s="1228"/>
      <c r="BD55" s="1228"/>
      <c r="BE55" s="1228"/>
    </row>
    <row r="56" spans="1:57">
      <c r="A56" s="1231"/>
      <c r="B56" s="1228"/>
      <c r="C56" s="1228"/>
      <c r="D56" s="1228"/>
      <c r="E56" s="1228"/>
      <c r="F56" s="1228"/>
      <c r="G56" s="1228"/>
      <c r="H56" s="1231"/>
      <c r="I56" s="1228"/>
      <c r="J56" s="1228"/>
      <c r="K56" s="1228"/>
      <c r="L56" s="1228"/>
      <c r="M56" s="1228"/>
      <c r="N56" s="1228"/>
      <c r="O56" s="1228"/>
      <c r="P56" s="1228"/>
      <c r="Q56" s="1228"/>
      <c r="R56" s="1228"/>
      <c r="S56" s="1228"/>
      <c r="T56" s="1228"/>
      <c r="U56" s="1228"/>
      <c r="V56" s="1228"/>
      <c r="W56" s="1228"/>
      <c r="AF56" s="1228"/>
      <c r="AG56" s="1228"/>
      <c r="AH56" s="1228"/>
      <c r="AI56" s="1228"/>
      <c r="AJ56" s="1228"/>
      <c r="AK56" s="1228"/>
      <c r="AL56" s="1228"/>
      <c r="AM56" s="1228"/>
      <c r="AN56" s="1228"/>
      <c r="AO56" s="1228"/>
      <c r="AP56" s="1228"/>
      <c r="AQ56" s="1228"/>
      <c r="AR56" s="1228"/>
      <c r="AS56" s="1228"/>
      <c r="AT56" s="1228"/>
      <c r="AU56" s="1228"/>
      <c r="AV56" s="1228"/>
      <c r="AW56" s="1228"/>
      <c r="AX56" s="1228"/>
      <c r="AY56" s="1228"/>
      <c r="AZ56" s="1228"/>
      <c r="BA56" s="1228"/>
      <c r="BB56" s="1228"/>
      <c r="BC56" s="1228"/>
      <c r="BD56" s="1228"/>
      <c r="BE56" s="1228"/>
    </row>
    <row r="57" spans="1:57">
      <c r="A57" s="1228"/>
      <c r="B57" s="1228"/>
      <c r="C57" s="1228"/>
      <c r="D57" s="1228"/>
      <c r="AF57" s="1228"/>
      <c r="AG57" s="1228"/>
      <c r="AH57" s="1228"/>
      <c r="AI57" s="1228"/>
      <c r="AJ57" s="1228"/>
      <c r="AK57" s="1228"/>
      <c r="AL57" s="1228"/>
      <c r="AM57" s="1228"/>
      <c r="AN57" s="1228"/>
      <c r="AO57" s="1228"/>
      <c r="AP57" s="1228"/>
      <c r="AQ57" s="1228"/>
      <c r="AR57" s="1228"/>
      <c r="AS57" s="1228"/>
      <c r="AT57" s="1228"/>
      <c r="AU57" s="1228"/>
      <c r="AV57" s="1228"/>
      <c r="AW57" s="1228"/>
      <c r="AX57" s="1228"/>
      <c r="AY57" s="1228"/>
      <c r="AZ57" s="1228"/>
      <c r="BA57" s="1228"/>
      <c r="BB57" s="1228"/>
      <c r="BC57" s="1228"/>
      <c r="BD57" s="1228"/>
      <c r="BE57" s="1228"/>
    </row>
    <row r="58" spans="32:57">
      <c r="AF58" s="1228"/>
      <c r="AG58" s="1228"/>
      <c r="AH58" s="1228"/>
      <c r="AI58" s="1228"/>
      <c r="AJ58" s="1228"/>
      <c r="AK58" s="1228"/>
      <c r="AL58" s="1228"/>
      <c r="AM58" s="1228"/>
      <c r="AN58" s="1228"/>
      <c r="AO58" s="1228"/>
      <c r="AP58" s="1228"/>
      <c r="AQ58" s="1228"/>
      <c r="AR58" s="1228"/>
      <c r="AS58" s="1228"/>
      <c r="AT58" s="1228"/>
      <c r="AU58" s="1228"/>
      <c r="AV58" s="1228"/>
      <c r="AW58" s="1228"/>
      <c r="AX58" s="1228"/>
      <c r="AY58" s="1228"/>
      <c r="AZ58" s="1228"/>
      <c r="BA58" s="1228"/>
      <c r="BB58" s="1228"/>
      <c r="BC58" s="1228"/>
      <c r="BD58" s="1228"/>
      <c r="BE58" s="1228"/>
    </row>
    <row r="62" spans="27:57" s="1228" customFormat="1">
      <c r="AA62" s="907"/>
      <c r="AC62" s="907"/>
      <c r="AD62" s="907"/>
      <c r="AE62" s="907"/>
      <c r="AF62" s="907"/>
      <c r="AG62" s="907"/>
      <c r="AH62" s="907"/>
      <c r="AI62" s="907"/>
      <c r="AJ62" s="907"/>
      <c r="AK62" s="907"/>
      <c r="AL62" s="907"/>
      <c r="AM62" s="907"/>
      <c r="AN62" s="907"/>
      <c r="AO62" s="907"/>
      <c r="AP62" s="907"/>
      <c r="AQ62" s="907"/>
      <c r="AR62" s="907"/>
      <c r="AS62" s="907"/>
      <c r="AT62" s="907"/>
      <c r="AU62" s="907"/>
      <c r="AV62" s="907"/>
      <c r="AW62" s="907"/>
      <c r="AX62" s="907"/>
      <c r="AY62" s="907"/>
      <c r="AZ62" s="907"/>
      <c r="BA62" s="907"/>
      <c r="BB62" s="907"/>
      <c r="BC62" s="907"/>
      <c r="BD62" s="907"/>
      <c r="BE62" s="907"/>
    </row>
  </sheetData>
  <sheetProtection password="BDAF" sheet="1" objects="1" scenarios="1" selectLockedCells="1" selectUnlockedCells="1"/>
  <mergeCells count="16">
    <mergeCell ref="D13:AA13"/>
    <mergeCell ref="A1:AA1"/>
    <mergeCell ref="A2:AA2"/>
    <mergeCell ref="D9:AA9"/>
    <mergeCell ref="D11:AA11"/>
    <mergeCell ref="D12:AA12"/>
    <mergeCell ref="A3:AA3"/>
    <mergeCell ref="K40:N40"/>
    <mergeCell ref="T40:W40"/>
    <mergeCell ref="D14:AA14"/>
    <mergeCell ref="D15:AA15"/>
    <mergeCell ref="D16:AA16"/>
    <mergeCell ref="A28:AA28"/>
    <mergeCell ref="E37:J37"/>
    <mergeCell ref="E38:J38"/>
    <mergeCell ref="A29:AA29"/>
  </mergeCells>
  <printOptions horizontalCentered="1"/>
  <pageMargins left="0.7" right="0.7" top="0.75" bottom="0.75" header="0.3" footer="0.3"/>
  <pageSetup paperSize="5" scale="80" fitToHeight="0" orientation="portrait" r:id="rId1"/>
  <headerFooter alignWithMargins="0">
    <oddHeader>&amp;R&amp;"Arial,Bold"&amp;14C.2.1.&amp;P</oddHeader>
    <oddFooter>&amp;L&amp;8Page &amp;P of &amp;N&amp;R&amp;8Printed on &amp;D,&amp;T</oddFooter>
  </headerFooter>
  <rowBreaks count="1" manualBreakCount="1">
    <brk id="57" max="26" man="1"/>
  </rowBreaks>
</worksheet>
</file>

<file path=xl/worksheets/sheet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6699"/>
    <pageSetUpPr fitToPage="1"/>
  </sheetPr>
  <dimension ref="B1:AZ487"/>
  <sheetViews>
    <sheetView topLeftCell="A74" showGridLines="0" zoomScaleNormal="115" zoomScaleSheetLayoutView="100" view="pageBreakPreview" workbookViewId="0">
      <selection pane="topLeft" activeCell="AH101" sqref="AH101"/>
    </sheetView>
  </sheetViews>
  <sheetFormatPr defaultRowHeight="12.5" baseColWidth="0"/>
  <cols>
    <col min="1" max="1" width="1.42578125" customWidth="1"/>
    <col min="2" max="15" width="2.99609375" customWidth="1"/>
    <col min="16" max="19" width="3.28125" customWidth="1"/>
    <col min="20" max="22" width="2.99609375" customWidth="1"/>
    <col min="23" max="23" width="3.28125" customWidth="1"/>
    <col min="24" max="45" width="2.99609375" customWidth="1"/>
    <col min="46" max="100" width="2.8515625" customWidth="1"/>
    <col min="101" max="194" width="3.8515625" customWidth="1"/>
  </cols>
  <sheetData>
    <row r="1" spans="2:45" ht="10" customHeight="1">
      <c r="B1" s="1"/>
      <c r="C1"/>
      <c r="D1"/>
      <c r="E1"/>
      <c r="F1"/>
      <c r="AS1" s="1"/>
    </row>
    <row r="2" spans="2:45" ht="20.15" customHeight="1">
      <c r="B2" s="1772" t="s">
        <v>630</v>
      </c>
      <c r="C2" s="61"/>
      <c r="D2" s="1774" t="s">
        <v>15</v>
      </c>
      <c r="E2" s="1774"/>
      <c r="F2" s="1774"/>
      <c r="G2" s="1774"/>
      <c r="H2" s="1774"/>
      <c r="I2" s="1774"/>
      <c r="J2" s="1774"/>
      <c r="K2" s="1774"/>
      <c r="L2" s="1774"/>
      <c r="M2" s="83"/>
      <c r="N2" s="1775" t="s">
        <v>631</v>
      </c>
      <c r="O2" s="1776"/>
      <c r="P2" s="1776"/>
      <c r="Q2" s="1776"/>
      <c r="R2" s="1776"/>
      <c r="S2" s="1776"/>
      <c r="T2" s="1776"/>
      <c r="U2" s="1776"/>
      <c r="V2" s="1776"/>
      <c r="W2" s="1776"/>
      <c r="X2" s="1776"/>
      <c r="Y2" s="1776"/>
      <c r="Z2" s="1776"/>
      <c r="AA2" s="1776"/>
      <c r="AB2" s="1776"/>
      <c r="AC2" s="1776"/>
      <c r="AD2" s="1776"/>
      <c r="AE2" s="1776"/>
      <c r="AF2" s="1776"/>
      <c r="AG2" s="1776"/>
      <c r="AH2" s="1776"/>
      <c r="AI2" s="1777"/>
      <c r="AJ2" s="1795" t="s">
        <v>632</v>
      </c>
      <c r="AK2" s="38"/>
      <c r="AM2" s="27">
        <v>2007</v>
      </c>
      <c r="AN2" s="1797"/>
      <c r="AO2" s="1797"/>
      <c r="AP2" s="1797"/>
      <c r="AQ2" s="1797"/>
      <c r="AR2" s="1797"/>
      <c r="AS2" s="27"/>
    </row>
    <row r="3" spans="2:45" ht="20.15" customHeight="1" thickBot="1">
      <c r="B3" s="1772"/>
      <c r="C3" s="61"/>
      <c r="D3" s="1774"/>
      <c r="E3" s="1774"/>
      <c r="F3" s="1774"/>
      <c r="G3" s="1774"/>
      <c r="H3" s="1774"/>
      <c r="I3" s="1774"/>
      <c r="J3" s="1774"/>
      <c r="K3" s="1774"/>
      <c r="L3" s="1774"/>
      <c r="M3" s="83"/>
      <c r="N3" s="1778" t="s">
        <v>633</v>
      </c>
      <c r="O3" s="1779"/>
      <c r="P3" s="1779"/>
      <c r="Q3" s="1779"/>
      <c r="R3" s="1779"/>
      <c r="S3" s="1779"/>
      <c r="T3" s="1779"/>
      <c r="U3" s="1779"/>
      <c r="V3" s="1779"/>
      <c r="W3" s="1779"/>
      <c r="X3" s="1779"/>
      <c r="Y3" s="1779"/>
      <c r="Z3" s="1779"/>
      <c r="AA3" s="1779"/>
      <c r="AB3" s="1779"/>
      <c r="AC3" s="1779"/>
      <c r="AD3" s="1779"/>
      <c r="AE3" s="1779"/>
      <c r="AF3" s="1779"/>
      <c r="AG3" s="1779"/>
      <c r="AH3" s="1779"/>
      <c r="AI3" s="1780"/>
      <c r="AJ3" s="1795"/>
      <c r="AK3" s="1798">
        <f>year01</f>
        <v>0</v>
      </c>
      <c r="AL3" s="1798"/>
      <c r="AM3" s="1798">
        <f>year02</f>
        <v>0</v>
      </c>
      <c r="AN3" s="1798"/>
      <c r="AO3" s="1798">
        <f>year03</f>
        <v>0</v>
      </c>
      <c r="AP3" s="1798"/>
      <c r="AQ3" s="1798">
        <f>year04</f>
        <v>0</v>
      </c>
      <c r="AR3" s="1798"/>
      <c r="AS3" s="27"/>
    </row>
    <row r="4" spans="2:45" ht="14.25" customHeight="1">
      <c r="B4" s="1772"/>
      <c r="D4" s="1774"/>
      <c r="E4" s="1774"/>
      <c r="F4" s="1774"/>
      <c r="G4" s="1774"/>
      <c r="H4" s="1774"/>
      <c r="I4" s="1774"/>
      <c r="J4" s="1774"/>
      <c r="K4" s="1774"/>
      <c r="L4" s="1774"/>
      <c r="M4" s="83"/>
      <c r="N4" s="362"/>
      <c r="O4"/>
      <c r="P4"/>
      <c r="Q4" s="15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s="1795"/>
      <c r="AK4" s="1798"/>
      <c r="AL4" s="1798"/>
      <c r="AM4" s="1798"/>
      <c r="AN4" s="1798"/>
      <c r="AO4" s="1798"/>
      <c r="AP4" s="1798"/>
      <c r="AQ4" s="1798"/>
      <c r="AR4" s="1798"/>
      <c r="AS4" s="27"/>
    </row>
    <row r="5" spans="2:45" ht="14.25" customHeight="1">
      <c r="B5" s="1772"/>
      <c r="C5" s="204" t="s">
        <v>465</v>
      </c>
      <c r="D5" s="204"/>
      <c r="E5" s="204"/>
      <c r="F5" s="204"/>
      <c r="G5" s="204"/>
      <c r="H5" s="204"/>
      <c r="I5" s="204"/>
      <c r="J5" s="204"/>
      <c r="K5" s="204"/>
      <c r="L5" s="204"/>
      <c r="M5" s="1781"/>
      <c r="N5" s="100" t="s">
        <v>23</v>
      </c>
      <c r="O5" s="88" t="s">
        <v>634</v>
      </c>
      <c r="P5"/>
      <c r="Q5" s="1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s="1795"/>
      <c r="AK5"/>
      <c r="AL5"/>
      <c r="AM5"/>
      <c r="AN5"/>
      <c r="AO5"/>
      <c r="AP5"/>
      <c r="AQ5"/>
      <c r="AR5"/>
      <c r="AS5" s="27"/>
    </row>
    <row r="6" spans="2:45" ht="14.25" customHeight="1">
      <c r="B6" s="1772"/>
      <c r="C6" s="204" t="s">
        <v>31</v>
      </c>
      <c r="D6" s="204"/>
      <c r="E6" s="204"/>
      <c r="F6" s="204"/>
      <c r="G6" s="204"/>
      <c r="H6" s="204"/>
      <c r="I6" s="204"/>
      <c r="J6" s="204"/>
      <c r="K6" s="204"/>
      <c r="L6" s="204"/>
      <c r="M6" s="1781"/>
      <c r="N6" s="100" t="s">
        <v>23</v>
      </c>
      <c r="O6" s="68" t="s">
        <v>635</v>
      </c>
      <c r="P6"/>
      <c r="Q6" s="15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s="1795"/>
      <c r="AK6" s="1337" t="str">
        <f>IF('GENERAL INFO'!T33&gt;0,"X","")</f>
        <v/>
      </c>
      <c r="AL6" s="986" t="s">
        <v>1194</v>
      </c>
      <c r="AM6" s="202"/>
      <c r="AN6" s="372"/>
      <c r="AO6" s="203"/>
      <c r="AP6" s="203"/>
      <c r="AQ6" s="203"/>
      <c r="AR6" s="203"/>
      <c r="AS6" s="347"/>
    </row>
    <row r="7" spans="2:45" ht="14.25" customHeight="1" thickBot="1">
      <c r="B7" s="1773"/>
      <c r="C7" s="2"/>
      <c r="D7" s="205"/>
      <c r="E7" s="51"/>
      <c r="F7" s="51"/>
      <c r="G7" s="51"/>
      <c r="H7" s="51"/>
      <c r="I7" s="51"/>
      <c r="J7" s="51"/>
      <c r="K7" s="51"/>
      <c r="L7" s="51"/>
      <c r="M7" s="60"/>
      <c r="N7" s="101" t="s">
        <v>23</v>
      </c>
      <c r="O7" s="223" t="s">
        <v>636</v>
      </c>
      <c r="P7" s="2"/>
      <c r="Q7" s="3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1796"/>
      <c r="AK7" s="2"/>
      <c r="AL7" s="2"/>
      <c r="AM7" s="29"/>
      <c r="AN7" s="29"/>
      <c r="AO7" s="29"/>
      <c r="AP7" s="29"/>
      <c r="AQ7" s="29"/>
      <c r="AR7" s="29"/>
      <c r="AS7" s="27"/>
    </row>
    <row r="8" spans="6:45" ht="2.15" customHeight="1">
      <c r="F8" s="30"/>
      <c r="G8" s="27"/>
      <c r="H8" s="27"/>
      <c r="I8" s="27"/>
      <c r="J8" s="27"/>
      <c r="K8" s="27"/>
      <c r="L8" s="27"/>
      <c r="M8" s="28"/>
      <c r="N8" s="26"/>
      <c r="O8"/>
      <c r="P8"/>
      <c r="Q8" s="15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 s="32"/>
      <c r="AL8" s="30"/>
      <c r="AM8" s="27"/>
      <c r="AN8" s="27"/>
      <c r="AO8" s="27"/>
      <c r="AP8" s="27"/>
      <c r="AQ8" s="27"/>
      <c r="AR8" s="27"/>
      <c r="AS8" s="27"/>
    </row>
    <row r="9" spans="2:52" ht="14.25" customHeight="1">
      <c r="B9" s="69"/>
      <c r="C9" s="1782" t="s">
        <v>637</v>
      </c>
      <c r="D9" s="1782"/>
      <c r="E9" s="1782"/>
      <c r="F9" s="1782"/>
      <c r="G9" s="2788" t="s">
        <v>23</v>
      </c>
      <c r="H9" s="119" t="s">
        <v>638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03" t="s">
        <v>23</v>
      </c>
      <c r="T9" s="120" t="s">
        <v>639</v>
      </c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04" t="s">
        <v>23</v>
      </c>
      <c r="AF9" s="363"/>
      <c r="AG9" s="120" t="s">
        <v>640</v>
      </c>
      <c r="AH9" s="117"/>
      <c r="AI9" s="117"/>
      <c r="AJ9" s="117"/>
      <c r="AK9" s="5"/>
      <c r="AL9" s="120"/>
      <c r="AM9" s="120"/>
      <c r="AN9" s="120"/>
      <c r="AO9" s="120"/>
      <c r="AP9" s="120"/>
      <c r="AQ9" s="120"/>
      <c r="AR9" s="120"/>
      <c r="AS9" s="5"/>
      <c r="AY9" s="6"/>
      <c r="AZ9" s="6"/>
    </row>
    <row r="10" spans="2:45" ht="5.25" customHeight="1" thickBot="1">
      <c r="B10" s="2"/>
      <c r="C10" s="102"/>
      <c r="D10" s="102"/>
      <c r="E10" s="102"/>
      <c r="F10" s="31"/>
      <c r="G10" s="105"/>
      <c r="H10" s="105"/>
      <c r="I10" s="105"/>
      <c r="J10" s="105"/>
      <c r="K10" s="105"/>
      <c r="L10" s="105"/>
      <c r="M10" s="105"/>
      <c r="N10" s="206"/>
      <c r="O10" s="102"/>
      <c r="P10" s="102"/>
      <c r="Q10" s="106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31"/>
      <c r="AM10" s="21"/>
      <c r="AN10" s="10"/>
      <c r="AO10" s="10"/>
      <c r="AP10" s="10"/>
      <c r="AQ10" s="10"/>
      <c r="AR10" s="10"/>
      <c r="AS10" s="9"/>
    </row>
    <row r="11" spans="2:45" ht="2.25" customHeight="1">
      <c r="B11" s="1836" t="s">
        <v>641</v>
      </c>
      <c r="C11" s="1837"/>
      <c r="D11" s="90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13"/>
      <c r="AS11"/>
    </row>
    <row r="12" spans="2:44" ht="20.15" customHeight="1">
      <c r="B12" s="1838"/>
      <c r="C12" s="1839"/>
      <c r="D12" s="91"/>
      <c r="E12" s="640" t="s">
        <v>1195</v>
      </c>
      <c r="F12" s="907"/>
      <c r="G12" s="908"/>
      <c r="H12" s="908"/>
      <c r="I12" s="908"/>
      <c r="J12" s="908"/>
      <c r="K12" s="4" t="s">
        <v>26</v>
      </c>
      <c r="L12" s="1324" t="str">
        <f>LEFT(npwp01,1)</f>
        <v/>
      </c>
      <c r="M12" s="1324" t="str">
        <f>MID(npwp01,2,1)</f>
        <v/>
      </c>
      <c r="N12" s="72"/>
      <c r="O12" s="1324" t="str">
        <f>MID(npwp01,3,1)</f>
        <v/>
      </c>
      <c r="P12" s="1324" t="str">
        <f>MID(npwp01,4,1)</f>
        <v/>
      </c>
      <c r="Q12" s="1324" t="str">
        <f>MID(npwp01,5,1)</f>
        <v/>
      </c>
      <c r="R12" s="72"/>
      <c r="S12" s="1324" t="str">
        <f>MID(npwp01,6,1)</f>
        <v/>
      </c>
      <c r="T12" s="1324" t="str">
        <f>MID(npwp01,7,1)</f>
        <v/>
      </c>
      <c r="U12" s="1324" t="str">
        <f>MID(npwp01,8,1)</f>
        <v/>
      </c>
      <c r="V12" s="72"/>
      <c r="W12" s="1324" t="str">
        <f>MID(npwp01,9,1)</f>
        <v/>
      </c>
      <c r="X12" s="72"/>
      <c r="Y12" s="1324" t="str">
        <f>MID(npwp01,10,1)</f>
        <v/>
      </c>
      <c r="Z12" s="1324" t="str">
        <f>MID(npwp01,11,1)</f>
        <v/>
      </c>
      <c r="AA12" s="1324" t="str">
        <f>MID(npwp01,12,1)</f>
        <v/>
      </c>
      <c r="AB12" s="72"/>
      <c r="AC12" s="1324" t="str">
        <f>MID(npwp01,13,1)</f>
        <v/>
      </c>
      <c r="AD12" s="1324" t="str">
        <f>MID(npwp01,14,1)</f>
        <v/>
      </c>
      <c r="AE12" s="1324" t="str">
        <f>MID(npwp01,15,1)</f>
        <v/>
      </c>
      <c r="AF12"/>
      <c r="AG12" s="11"/>
      <c r="AH12" s="11"/>
      <c r="AI12" s="11"/>
      <c r="AJ12"/>
      <c r="AK12"/>
      <c r="AL12"/>
      <c r="AM12"/>
      <c r="AN12"/>
      <c r="AO12"/>
      <c r="AP12"/>
      <c r="AQ12"/>
      <c r="AR12" s="52"/>
    </row>
    <row r="13" spans="2:44" ht="4" customHeight="1">
      <c r="B13" s="1838"/>
      <c r="C13" s="1839"/>
      <c r="D13" s="91"/>
      <c r="E13" s="907"/>
      <c r="F13" s="907"/>
      <c r="G13" s="908"/>
      <c r="H13" s="908"/>
      <c r="I13" s="908"/>
      <c r="J13" s="908"/>
      <c r="K13" s="4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/>
      <c r="AG13" s="11"/>
      <c r="AH13" s="11"/>
      <c r="AI13" s="11"/>
      <c r="AJ13"/>
      <c r="AK13"/>
      <c r="AL13"/>
      <c r="AM13"/>
      <c r="AN13"/>
      <c r="AO13"/>
      <c r="AP13"/>
      <c r="AQ13"/>
      <c r="AR13" s="52"/>
    </row>
    <row r="14" spans="2:45" ht="20.15" customHeight="1">
      <c r="B14" s="1838"/>
      <c r="C14" s="1839"/>
      <c r="D14" s="91"/>
      <c r="E14" s="640" t="s">
        <v>642</v>
      </c>
      <c r="F14" s="985"/>
      <c r="G14" s="909"/>
      <c r="H14" s="909"/>
      <c r="I14" s="909"/>
      <c r="J14" s="909"/>
      <c r="K14" s="44" t="s">
        <v>26</v>
      </c>
      <c r="L14" s="1325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",name01,1)),1)),1)))&gt;32,UPPER(LEFT(LEFT(name01,FIND("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",name01,1)),1)),1)),1)+1),1)),UPPER(LEFT(LEFT(name01,FIND("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",name01,1)),1)),1)),1))),UPPER(LEFT(LEFT(name01,FIND("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",name01,1)),1)),1))),UPPER(LEFT(name01,1)))</f>
        <v/>
      </c>
      <c r="M14" s="1325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",name01,1)),1)),2,1))),UPPER(MID(name01,2,1)))</f>
        <v/>
      </c>
      <c r="N14" s="1325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",name01,1)),1)),3,1))),UPPER(MID(name01,3,1)))</f>
        <v/>
      </c>
      <c r="O14" s="1325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",name01,1)),1)),4,1))),UPPER(MID(name01,4,1)))</f>
        <v/>
      </c>
      <c r="P14" s="1325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",name01,1)),1)),5,1))),UPPER(MID(name01,5,1)))</f>
        <v/>
      </c>
      <c r="Q14" s="1325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",name01,1)),1)),6,1))),UPPER(MID(name01,6,1)))</f>
        <v/>
      </c>
      <c r="R14" s="1325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",name01,1)),1)),7,1))),UPPER(MID(name01,7,1)))</f>
        <v/>
      </c>
      <c r="S14" s="1325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",name01,1)),1)),8,1))),UPPER(MID(name01,8,1)))</f>
        <v/>
      </c>
      <c r="T14" s="1325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",name01,1)),1)),9,1))),UPPER(MID(name01,9,1)))</f>
        <v/>
      </c>
      <c r="U14" s="1325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",name01,1)),1)),10,1))),UPPER(MID(name01,10,1)))</f>
        <v/>
      </c>
      <c r="V14" s="1325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",name01,1)),1)),11,1))),UPPER(MID(name01,11,1)))</f>
        <v/>
      </c>
      <c r="W14" s="1325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",name01,1)),1)),12,1))),UPPER(MID(name01,12,1)))</f>
        <v/>
      </c>
      <c r="X14" s="13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",name01,1)),1)),13,1))),UPPER(MID(name01,13,1)))</f>
        <v/>
      </c>
      <c r="Y14" s="13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",name01,1)),1)),14,1))),UPPER(MID(name01,14,1)))</f>
        <v/>
      </c>
      <c r="Z14" s="13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",name01,1)),1)),15,1))),UPPER(MID(name01,15,1)))</f>
        <v/>
      </c>
      <c r="AA14" s="13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",name01,1)),1)),16,1))),UPPER(MID(name01,16,1)))</f>
        <v/>
      </c>
      <c r="AB14" s="13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",name01,1)),1)),17,1))),UPPER(MID(name01,17,1)))</f>
        <v/>
      </c>
      <c r="AC14" s="13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",name01,1)),1)),18,1))),UPPER(MID(name01,18,1)))</f>
        <v/>
      </c>
      <c r="AD14" s="13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",name01,1)),1)),19,1))),UPPER(MID(name01,19,1)))</f>
        <v/>
      </c>
      <c r="AE14" s="13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",name01,1)),1)),20,1))),UPPER(MID(name01,20,1)))</f>
        <v/>
      </c>
      <c r="AF14" s="13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",name01,1)),1)),21,1))),UPPER(MID(name01,21,1)))</f>
        <v/>
      </c>
      <c r="AG14" s="13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",name01,1)),1)),22,1))),UPPER(MID(name01,22,1)))</f>
        <v/>
      </c>
      <c r="AH14" s="13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",name01,1)),1)),23,1))),UPPER(MID(name01,23,1)))</f>
        <v/>
      </c>
      <c r="AI14" s="13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",name01,1)),1)),24,1))),UPPER(MID(name01,24,1)))</f>
        <v/>
      </c>
      <c r="AJ14" s="13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",name01,1)),1)),25,1))),UPPER(MID(name01,25,1)))</f>
        <v/>
      </c>
      <c r="AK14" s="13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",name01,1)),1)),26,1))),UPPER(MID(name01,26,1)))</f>
        <v/>
      </c>
      <c r="AL14" s="13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",name01,1)),1)),27,1))),UPPER(MID(name01,27,1)))</f>
        <v/>
      </c>
      <c r="AM14" s="13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",name01,1)),1)),28,1))),UPPER(MID(name01,28,1)))</f>
        <v/>
      </c>
      <c r="AN14" s="13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",name01,1)),1)),29,1))),UPPER(MID(name01,29,1)))</f>
        <v/>
      </c>
      <c r="AO14" s="13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",name01,1)),1)),30,1))),UPPER(MID(name01,30,1)))</f>
        <v/>
      </c>
      <c r="AP14" s="13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",name01,1)),1)),31,1))),UPPER(MID(name01,31,1)))</f>
        <v/>
      </c>
      <c r="AQ14" s="1326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",name01,1)),1)),32,1))),UPPER(MID(name01,32,1)))</f>
        <v/>
      </c>
      <c r="AR14" s="52"/>
      <c r="AS14"/>
    </row>
    <row r="15" spans="2:44" ht="4" customHeight="1">
      <c r="B15" s="1838"/>
      <c r="C15" s="1839"/>
      <c r="D15" s="91"/>
      <c r="E15" s="985"/>
      <c r="F15" s="985"/>
      <c r="G15" s="909"/>
      <c r="H15" s="909"/>
      <c r="I15" s="909"/>
      <c r="J15" s="909"/>
      <c r="K15" s="44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/>
      <c r="AG15" s="11"/>
      <c r="AH15" s="11"/>
      <c r="AI15" s="11"/>
      <c r="AJ15"/>
      <c r="AK15"/>
      <c r="AL15"/>
      <c r="AM15"/>
      <c r="AN15"/>
      <c r="AO15"/>
      <c r="AP15"/>
      <c r="AQ15"/>
      <c r="AR15" s="52"/>
    </row>
    <row r="16" spans="2:44" ht="20.15" customHeight="1">
      <c r="B16" s="1838"/>
      <c r="C16" s="1839"/>
      <c r="D16" s="91"/>
      <c r="E16" s="985" t="s">
        <v>643</v>
      </c>
      <c r="F16" s="985"/>
      <c r="G16" s="909"/>
      <c r="H16" s="909"/>
      <c r="I16" s="909"/>
      <c r="J16" s="909"/>
      <c r="K16" s="44" t="s">
        <v>26</v>
      </c>
      <c r="L16" s="1326" t="str">
        <f>UPPER(LEFT(_Occ1,1))</f>
        <v/>
      </c>
      <c r="M16" s="1326" t="str">
        <f>UPPER(MID(_Occ1,2,1))</f>
        <v/>
      </c>
      <c r="N16" s="1326" t="str">
        <f>UPPER(MID(_Occ1,3,1))</f>
        <v/>
      </c>
      <c r="O16" s="1326" t="str">
        <f>UPPER(MID(_Occ1,4,1))</f>
        <v/>
      </c>
      <c r="P16" s="1326" t="str">
        <f>UPPER(MID(_Occ1,5,1))</f>
        <v/>
      </c>
      <c r="Q16" s="1326" t="str">
        <f>UPPER(MID(_Occ1,6,1))</f>
        <v/>
      </c>
      <c r="R16" s="1326" t="str">
        <f>UPPER(MID(_Occ1,7,1))</f>
        <v/>
      </c>
      <c r="S16" s="1326" t="str">
        <f>UPPER(MID(_Occ1,8,1))</f>
        <v/>
      </c>
      <c r="T16" s="1326" t="str">
        <f>UPPER(MID(_Occ1,9,1))</f>
        <v/>
      </c>
      <c r="U16" s="1326" t="str">
        <f>UPPER(MID(_Occ1,10,1))</f>
        <v/>
      </c>
      <c r="V16" s="1326" t="str">
        <f>UPPER(MID(_Occ1,11,1))</f>
        <v/>
      </c>
      <c r="W16" s="1326" t="str">
        <f>UPPER(MID(_Occ1,12,1))</f>
        <v/>
      </c>
      <c r="X16" s="1326" t="str">
        <f>UPPER(MID(_Occ1,13,1))</f>
        <v/>
      </c>
      <c r="Y16" s="1326" t="str">
        <f>UPPER(MID(_Occ1,14,1))</f>
        <v/>
      </c>
      <c r="Z16" s="1326" t="str">
        <f>UPPER(MID(_Occ1,15,1))</f>
        <v/>
      </c>
      <c r="AA16" s="1326" t="str">
        <f>UPPER(MID(_Occ1,16,1))</f>
        <v/>
      </c>
      <c r="AB16" s="1326" t="str">
        <f>UPPER(MID(_Occ1,17,1))</f>
        <v/>
      </c>
      <c r="AC16" s="1326" t="str">
        <f>UPPER(MID(_Occ1,18,1))</f>
        <v/>
      </c>
      <c r="AD16" s="1326" t="str">
        <f>UPPER(MID(_Occ1,19,1))</f>
        <v/>
      </c>
      <c r="AE16" s="1326" t="str">
        <f>UPPER(MID(_Occ1,20,1))</f>
        <v/>
      </c>
      <c r="AF16" s="1326" t="str">
        <f>UPPER(MID(_Occ1,21,1))</f>
        <v/>
      </c>
      <c r="AG16" s="1326" t="str">
        <f>UPPER(MID(_Occ1,22,1))</f>
        <v/>
      </c>
      <c r="AH16" s="1326" t="str">
        <f>UPPER(MID(_Occ1,23,1))</f>
        <v/>
      </c>
      <c r="AI16"/>
      <c r="AJ16" s="44" t="s">
        <v>125</v>
      </c>
      <c r="AK16" s="11"/>
      <c r="AL16" s="1283">
        <v>9</v>
      </c>
      <c r="AM16" s="1283">
        <v>6</v>
      </c>
      <c r="AN16" s="1283">
        <v>3</v>
      </c>
      <c r="AO16" s="1283">
        <v>0</v>
      </c>
      <c r="AP16" s="1283">
        <v>4</v>
      </c>
      <c r="AQ16" s="1283"/>
      <c r="AR16" s="89"/>
    </row>
    <row r="17" spans="2:44" ht="4" customHeight="1">
      <c r="B17" s="1838"/>
      <c r="C17" s="1839"/>
      <c r="D17" s="91"/>
      <c r="E17" s="985"/>
      <c r="F17" s="985"/>
      <c r="G17" s="909"/>
      <c r="H17" s="909"/>
      <c r="I17" s="909"/>
      <c r="J17" s="909"/>
      <c r="K17" s="44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/>
      <c r="AG17" s="11"/>
      <c r="AH17" s="11"/>
      <c r="AI17" s="11"/>
      <c r="AJ17"/>
      <c r="AK17"/>
      <c r="AL17"/>
      <c r="AM17"/>
      <c r="AN17"/>
      <c r="AO17"/>
      <c r="AP17"/>
      <c r="AQ17"/>
      <c r="AR17" s="52"/>
    </row>
    <row r="18" spans="2:44" ht="20.15" customHeight="1">
      <c r="B18" s="1838"/>
      <c r="C18" s="1839"/>
      <c r="D18" s="91"/>
      <c r="E18" s="985" t="s">
        <v>644</v>
      </c>
      <c r="F18" s="985"/>
      <c r="G18" s="909"/>
      <c r="H18" s="909"/>
      <c r="I18" s="909"/>
      <c r="J18" s="909"/>
      <c r="K18" s="44" t="s">
        <v>26</v>
      </c>
      <c r="L18" s="1327" t="str">
        <f>LEFT(phone01,1)</f>
        <v/>
      </c>
      <c r="M18" s="1327" t="str">
        <f>MID(phone01,2,1)</f>
        <v/>
      </c>
      <c r="N18" s="1327" t="str">
        <f>MID(phone01,3,1)</f>
        <v/>
      </c>
      <c r="O18" s="1327" t="str">
        <f>MID(phone01,4,1)</f>
        <v/>
      </c>
      <c r="P18" s="252" t="s">
        <v>30</v>
      </c>
      <c r="Q18" s="1327" t="str">
        <f>LEFT(phone02,1)</f>
        <v/>
      </c>
      <c r="R18" s="1327" t="str">
        <f>MID(phone02,2,1)</f>
        <v/>
      </c>
      <c r="S18" s="1327" t="str">
        <f>MID(phone02,3,1)</f>
        <v/>
      </c>
      <c r="T18" s="1327" t="str">
        <f>MID(phone02,4,1)</f>
        <v/>
      </c>
      <c r="U18" s="1327" t="str">
        <f>MID(phone02,5,1)</f>
        <v/>
      </c>
      <c r="V18" s="1327" t="str">
        <f>MID(phone02,6,1)</f>
        <v/>
      </c>
      <c r="W18" s="1327" t="str">
        <f>MID(phone02,7,1)</f>
        <v/>
      </c>
      <c r="X18" s="1327" t="str">
        <f>MID(phone02,8,1)</f>
        <v/>
      </c>
      <c r="Y18" s="245"/>
      <c r="Z18" s="1771" t="s">
        <v>645</v>
      </c>
      <c r="AA18" s="1771"/>
      <c r="AB18" s="1771"/>
      <c r="AC18" s="1771"/>
      <c r="AD18" s="251" t="s">
        <v>26</v>
      </c>
      <c r="AE18" s="1327" t="str">
        <f>LEFT(faxNo01,1)</f>
        <v/>
      </c>
      <c r="AF18" s="1327" t="str">
        <f>MID(faxNo01,2,1)</f>
        <v/>
      </c>
      <c r="AG18" s="1327" t="str">
        <f>MID(faxNo01,3,1)</f>
        <v/>
      </c>
      <c r="AH18" s="1327" t="str">
        <f>MID(faxNo01,4,1)</f>
        <v/>
      </c>
      <c r="AI18" s="252" t="s">
        <v>30</v>
      </c>
      <c r="AJ18" s="1327" t="str">
        <f>LEFT(faxNo02,1)</f>
        <v/>
      </c>
      <c r="AK18" s="1327" t="str">
        <f>MID(faxNo02,2,1)</f>
        <v/>
      </c>
      <c r="AL18" s="1327" t="str">
        <f>MID(faxNo02,3,1)</f>
        <v/>
      </c>
      <c r="AM18" s="1327" t="str">
        <f>MID(faxNo02,4,1)</f>
        <v/>
      </c>
      <c r="AN18" s="1327" t="str">
        <f>MID(faxNo02,5,1)</f>
        <v/>
      </c>
      <c r="AO18" s="1327" t="str">
        <f>MID(faxNo02,6,1)</f>
        <v/>
      </c>
      <c r="AP18" s="1327" t="str">
        <f>MID(faxNo02,7,1)</f>
        <v/>
      </c>
      <c r="AQ18" s="1327" t="str">
        <f>MID(faxNo02,8,1)</f>
        <v/>
      </c>
      <c r="AR18" s="47"/>
    </row>
    <row r="19" spans="2:44" ht="4" customHeight="1">
      <c r="B19" s="1838"/>
      <c r="C19" s="1839"/>
      <c r="D19" s="91"/>
      <c r="E19" s="909"/>
      <c r="F19" s="985"/>
      <c r="G19" s="909"/>
      <c r="H19" s="909"/>
      <c r="I19" s="909"/>
      <c r="J19" s="909"/>
      <c r="K19" s="44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/>
      <c r="AG19" s="11"/>
      <c r="AH19" s="11"/>
      <c r="AI19" s="11"/>
      <c r="AJ19"/>
      <c r="AK19"/>
      <c r="AL19"/>
      <c r="AM19"/>
      <c r="AN19"/>
      <c r="AO19"/>
      <c r="AP19"/>
      <c r="AQ19"/>
      <c r="AR19" s="52"/>
    </row>
    <row r="20" spans="2:44" ht="18.65" customHeight="1">
      <c r="B20" s="1838"/>
      <c r="C20" s="1839"/>
      <c r="D20" s="91"/>
      <c r="E20" s="1769" t="s">
        <v>968</v>
      </c>
      <c r="F20" s="1769"/>
      <c r="G20" s="1769"/>
      <c r="H20" s="1769"/>
      <c r="I20" s="1769"/>
      <c r="J20" s="1769"/>
      <c r="K20" s="44" t="s">
        <v>26</v>
      </c>
      <c r="L20" s="1328" t="str">
        <f>IF('GENERAL INFO'!G24="KK","X","")</f>
        <v/>
      </c>
      <c r="M20" s="909" t="s">
        <v>970</v>
      </c>
      <c r="N20" s="11"/>
      <c r="O20" s="16"/>
      <c r="P20" s="1328" t="str">
        <f>IF('GENERAL INFO'!G24="HB","X","")</f>
        <v/>
      </c>
      <c r="Q20" s="44" t="s">
        <v>971</v>
      </c>
      <c r="R20" s="16"/>
      <c r="S20" s="689"/>
      <c r="T20" s="689"/>
      <c r="U20" s="1328" t="str">
        <f>IF('GENERAL INFO'!G24="PH","X","")</f>
        <v/>
      </c>
      <c r="V20" s="44" t="s">
        <v>972</v>
      </c>
      <c r="W20" s="16"/>
      <c r="X20" s="11"/>
      <c r="Y20" s="16"/>
      <c r="Z20" s="1328" t="str">
        <f>IF('GENERAL INFO'!G24="MT","X","")</f>
        <v/>
      </c>
      <c r="AA20" s="44" t="s">
        <v>973</v>
      </c>
      <c r="AB20" s="16"/>
      <c r="AC20" s="11"/>
      <c r="AD20" s="11"/>
      <c r="AE20" s="11"/>
      <c r="AF20"/>
      <c r="AG20" s="11"/>
      <c r="AH20" s="11"/>
      <c r="AI20" s="11"/>
      <c r="AJ20"/>
      <c r="AK20"/>
      <c r="AL20"/>
      <c r="AM20"/>
      <c r="AN20"/>
      <c r="AO20"/>
      <c r="AP20"/>
      <c r="AQ20"/>
      <c r="AR20" s="52"/>
    </row>
    <row r="21" spans="2:44" ht="7.15" customHeight="1">
      <c r="B21" s="1838"/>
      <c r="C21" s="1839"/>
      <c r="D21" s="91"/>
      <c r="E21" s="1769"/>
      <c r="F21" s="1769"/>
      <c r="G21" s="1769"/>
      <c r="H21" s="1769"/>
      <c r="I21" s="1769"/>
      <c r="J21" s="1769"/>
      <c r="K21" s="44"/>
      <c r="L21" s="237"/>
      <c r="M21" s="62"/>
      <c r="N21" s="11"/>
      <c r="O21" s="237"/>
      <c r="P21" s="62"/>
      <c r="Q21" s="689"/>
      <c r="R21" s="689"/>
      <c r="S21" s="689"/>
      <c r="T21" s="11"/>
      <c r="U21" s="237"/>
      <c r="V21" s="62"/>
      <c r="W21" s="11"/>
      <c r="X21" s="11"/>
      <c r="Y21" s="11"/>
      <c r="Z21" s="11"/>
      <c r="AA21" s="11"/>
      <c r="AB21" s="11"/>
      <c r="AC21" s="11"/>
      <c r="AD21" s="11"/>
      <c r="AE21" s="11"/>
      <c r="AF21"/>
      <c r="AG21" s="11"/>
      <c r="AH21" s="11"/>
      <c r="AI21" s="11"/>
      <c r="AJ21"/>
      <c r="AK21"/>
      <c r="AL21"/>
      <c r="AM21"/>
      <c r="AN21"/>
      <c r="AO21"/>
      <c r="AP21"/>
      <c r="AQ21"/>
      <c r="AR21" s="52"/>
    </row>
    <row r="22" spans="2:44" ht="4" customHeight="1">
      <c r="B22" s="1838"/>
      <c r="C22" s="1839"/>
      <c r="D22" s="91"/>
      <c r="E22" s="985"/>
      <c r="F22" s="985"/>
      <c r="G22" s="985"/>
      <c r="H22" s="985"/>
      <c r="I22" s="985"/>
      <c r="J22" s="985"/>
      <c r="K22" s="44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/>
      <c r="AG22" s="11"/>
      <c r="AH22" s="11"/>
      <c r="AI22" s="11"/>
      <c r="AJ22"/>
      <c r="AK22"/>
      <c r="AL22"/>
      <c r="AM22"/>
      <c r="AN22"/>
      <c r="AO22"/>
      <c r="AP22"/>
      <c r="AQ22"/>
      <c r="AR22" s="52"/>
    </row>
    <row r="23" spans="2:44" ht="20.15" customHeight="1">
      <c r="B23" s="1838"/>
      <c r="C23" s="1839"/>
      <c r="D23" s="91"/>
      <c r="E23" s="985" t="s">
        <v>969</v>
      </c>
      <c r="F23" s="985"/>
      <c r="G23" s="985"/>
      <c r="H23" s="985"/>
      <c r="I23" s="985"/>
      <c r="J23" s="985"/>
      <c r="K23" s="44" t="s">
        <v>26</v>
      </c>
      <c r="L23" s="1327" t="str">
        <f>LEFT(spouseNpwp,1)</f>
        <v/>
      </c>
      <c r="M23" s="1327" t="str">
        <f>MID(spouseNpwp,2,1)</f>
        <v/>
      </c>
      <c r="N23" s="813"/>
      <c r="O23" s="1327" t="str">
        <f>MID(spouseNpwp,3,1)</f>
        <v/>
      </c>
      <c r="P23" s="1327" t="str">
        <f>MID(spouseNpwp,4,1)</f>
        <v/>
      </c>
      <c r="Q23" s="1327" t="str">
        <f>MID(spouseNpwp,5,1)</f>
        <v/>
      </c>
      <c r="R23" s="813"/>
      <c r="S23" s="1327" t="str">
        <f>MID(spouseNpwp,6,1)</f>
        <v/>
      </c>
      <c r="T23" s="1327" t="str">
        <f>MID(spouseNpwp,7,1)</f>
        <v/>
      </c>
      <c r="U23" s="1327" t="str">
        <f>MID(spouseNpwp,8,1)</f>
        <v/>
      </c>
      <c r="V23" s="813"/>
      <c r="W23" s="1327" t="str">
        <f>MID(spouseNpwp,9,1)</f>
        <v/>
      </c>
      <c r="X23" s="813"/>
      <c r="Y23" s="1327" t="str">
        <f>MID(spouseNpwp,10,1)</f>
        <v/>
      </c>
      <c r="Z23" s="1327" t="str">
        <f>MID(spouseNpwp,11,1)</f>
        <v/>
      </c>
      <c r="AA23" s="1327" t="str">
        <f>MID(spouseNpwp,12,1)</f>
        <v/>
      </c>
      <c r="AB23" s="813"/>
      <c r="AC23" s="1327" t="str">
        <f>MID(spouseNpwp,13,1)</f>
        <v/>
      </c>
      <c r="AD23" s="1327" t="str">
        <f>MID(spouseNpwp,14,1)</f>
        <v/>
      </c>
      <c r="AE23" s="1327" t="str">
        <f>MID(spouseNpwp,15,1)</f>
        <v/>
      </c>
      <c r="AF23"/>
      <c r="AG23" s="11"/>
      <c r="AH23" s="11"/>
      <c r="AI23" s="11"/>
      <c r="AJ23"/>
      <c r="AK23"/>
      <c r="AL23"/>
      <c r="AM23"/>
      <c r="AN23"/>
      <c r="AO23"/>
      <c r="AP23"/>
      <c r="AQ23"/>
      <c r="AR23" s="52"/>
    </row>
    <row r="24" spans="2:44" ht="4" customHeight="1" thickBot="1">
      <c r="B24" s="1838"/>
      <c r="C24" s="1839"/>
      <c r="D24" s="91"/>
      <c r="E24" s="68"/>
      <c r="F24" s="88"/>
      <c r="G24" s="44"/>
      <c r="H24" s="44"/>
      <c r="I24" s="44"/>
      <c r="J24" s="44"/>
      <c r="K24" s="44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/>
      <c r="AG24" s="11"/>
      <c r="AH24" s="11"/>
      <c r="AI24" s="11"/>
      <c r="AJ24"/>
      <c r="AK24"/>
      <c r="AL24"/>
      <c r="AM24"/>
      <c r="AN24"/>
      <c r="AO24"/>
      <c r="AP24"/>
      <c r="AQ24"/>
      <c r="AR24" s="52"/>
    </row>
    <row r="25" spans="2:44" ht="28.15" customHeight="1" thickBot="1">
      <c r="B25" s="48"/>
      <c r="C25" s="1840"/>
      <c r="D25" s="1833" t="s">
        <v>974</v>
      </c>
      <c r="E25" s="1834"/>
      <c r="F25" s="1834"/>
      <c r="G25" s="1834"/>
      <c r="H25" s="1834"/>
      <c r="I25" s="1834"/>
      <c r="J25" s="1834"/>
      <c r="K25" s="1834"/>
      <c r="L25" s="1834"/>
      <c r="M25" s="1834"/>
      <c r="N25" s="1834"/>
      <c r="O25" s="1834"/>
      <c r="P25" s="1834"/>
      <c r="Q25" s="1834"/>
      <c r="R25" s="1834"/>
      <c r="S25" s="1834"/>
      <c r="T25" s="1834"/>
      <c r="U25" s="1834"/>
      <c r="V25" s="1834"/>
      <c r="W25" s="1834"/>
      <c r="X25" s="1834"/>
      <c r="Y25" s="1834"/>
      <c r="Z25" s="1834"/>
      <c r="AA25" s="1834"/>
      <c r="AB25" s="1834"/>
      <c r="AC25" s="1834"/>
      <c r="AD25" s="1834"/>
      <c r="AE25" s="1834"/>
      <c r="AF25" s="1834"/>
      <c r="AG25" s="1834"/>
      <c r="AH25" s="1834"/>
      <c r="AI25" s="1834"/>
      <c r="AJ25" s="1834"/>
      <c r="AK25" s="1834"/>
      <c r="AL25" s="1834"/>
      <c r="AM25" s="1834"/>
      <c r="AN25" s="1834"/>
      <c r="AO25" s="1834"/>
      <c r="AP25" s="1834"/>
      <c r="AQ25" s="1834"/>
      <c r="AR25" s="1835"/>
    </row>
    <row r="26" spans="2:45" ht="5.15" customHeight="1">
      <c r="B26" s="1783"/>
      <c r="C26" s="1783"/>
      <c r="D26" s="1783"/>
      <c r="E26" s="1783"/>
      <c r="F26" s="1783"/>
      <c r="G26" s="1783"/>
      <c r="H26" s="1783"/>
      <c r="I26" s="1783"/>
      <c r="J26" s="1783"/>
      <c r="K26" s="1783"/>
      <c r="L26" s="1783"/>
      <c r="M26" s="1783"/>
      <c r="N26" s="1783"/>
      <c r="O26" s="1783"/>
      <c r="P26" s="1783"/>
      <c r="Q26" s="1783"/>
      <c r="R26" s="1783"/>
      <c r="S26" s="1783"/>
      <c r="T26" s="1783"/>
      <c r="U26" s="1783"/>
      <c r="V26" s="1783"/>
      <c r="W26" s="1783"/>
      <c r="X26" s="1783"/>
      <c r="Y26" s="1783"/>
      <c r="Z26" s="1783"/>
      <c r="AA26" s="1783"/>
      <c r="AB26" s="1783"/>
      <c r="AC26" s="1783"/>
      <c r="AD26" s="1783"/>
      <c r="AE26" s="1783"/>
      <c r="AF26" s="1783"/>
      <c r="AG26" s="1783"/>
      <c r="AH26" s="1783"/>
      <c r="AI26" s="1783"/>
      <c r="AJ26" s="1783"/>
      <c r="AK26" s="1783"/>
      <c r="AL26" s="1783"/>
      <c r="AM26" s="1783"/>
      <c r="AN26" s="1783"/>
      <c r="AO26" s="1783"/>
      <c r="AP26" s="1783"/>
      <c r="AQ26" s="1783"/>
      <c r="AR26" s="1783"/>
      <c r="AS26" s="11"/>
    </row>
    <row r="27" spans="2:45" s="16" customFormat="1" ht="12" customHeight="1">
      <c r="B27" s="199" t="s">
        <v>646</v>
      </c>
      <c r="C27" s="196"/>
      <c r="D27" s="196"/>
      <c r="E27" s="207"/>
      <c r="F27" s="197"/>
      <c r="G27" s="208"/>
      <c r="H27" s="208"/>
      <c r="I27" s="208"/>
      <c r="J27" s="208"/>
      <c r="K27" s="208"/>
      <c r="L27" s="208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7"/>
      <c r="X27" s="197"/>
      <c r="Y27" s="197"/>
      <c r="Z27" s="197"/>
      <c r="AA27" s="197"/>
      <c r="AB27" s="197"/>
      <c r="AC27" s="197"/>
      <c r="AD27" s="197"/>
      <c r="AE27" s="197"/>
      <c r="AF27" s="198"/>
      <c r="AG27" s="1784" t="s">
        <v>647</v>
      </c>
      <c r="AH27" s="207"/>
      <c r="AI27" s="207"/>
      <c r="AJ27" s="207"/>
      <c r="AK27" s="207"/>
      <c r="AL27" s="207"/>
      <c r="AM27" s="207"/>
      <c r="AN27" s="207"/>
      <c r="AO27" s="207"/>
      <c r="AP27" s="207"/>
      <c r="AQ27" s="207"/>
      <c r="AR27" s="1785"/>
      <c r="AS27" s="54"/>
    </row>
    <row r="28" spans="2:45" s="16" customFormat="1" ht="2.15" customHeight="1">
      <c r="B28" s="200"/>
      <c r="C28" s="201"/>
      <c r="D28" s="201"/>
      <c r="E28" s="49"/>
      <c r="F28" s="16"/>
      <c r="G28" s="11"/>
      <c r="H28" s="11"/>
      <c r="I28" s="11"/>
      <c r="J28" s="11"/>
      <c r="K28" s="11"/>
      <c r="L28" s="11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49"/>
      <c r="AH28" s="49"/>
      <c r="AI28" s="49"/>
      <c r="AJ28" s="49"/>
      <c r="AK28" s="49"/>
      <c r="AL28" s="49"/>
      <c r="AM28" s="49"/>
      <c r="AN28" s="49"/>
      <c r="AO28" s="49"/>
      <c r="AP28" s="49"/>
      <c r="AQ28" s="49"/>
      <c r="AR28" s="209"/>
      <c r="AS28" s="54"/>
    </row>
    <row r="29" spans="2:45" s="11" customFormat="1" ht="15" customHeight="1">
      <c r="B29" s="1786" t="s">
        <v>648</v>
      </c>
      <c r="C29" s="1787"/>
      <c r="D29" s="1788"/>
      <c r="E29" s="41" t="s">
        <v>386</v>
      </c>
      <c r="F29" s="987" t="s">
        <v>649</v>
      </c>
      <c r="G29" s="910"/>
      <c r="H29" s="910"/>
      <c r="I29" s="910"/>
      <c r="J29" s="910"/>
      <c r="K29" s="910"/>
      <c r="L29" s="910"/>
      <c r="M29" s="910"/>
      <c r="N29" s="910"/>
      <c r="O29" s="910"/>
      <c r="P29" s="1768" t="s">
        <v>1065</v>
      </c>
      <c r="Q29" s="1768"/>
      <c r="R29" s="1768"/>
      <c r="S29" s="1768"/>
      <c r="T29" s="1768"/>
      <c r="U29" s="1768"/>
      <c r="V29" s="1768"/>
      <c r="W29" s="1768"/>
      <c r="X29" s="1768"/>
      <c r="Y29" s="1768"/>
      <c r="Z29" s="1768"/>
      <c r="AA29" s="1768"/>
      <c r="AB29" s="1768"/>
      <c r="AC29" s="1768"/>
      <c r="AD29" s="1768"/>
      <c r="AE29" s="1768"/>
      <c r="AF29" s="11"/>
      <c r="AG29" s="82">
        <v>1</v>
      </c>
      <c r="AH29" s="1800">
        <f>IF('GENERAL INFO'!K10="X","",'GENERAL INFO'!V133)</f>
        <v>0</v>
      </c>
      <c r="AI29" s="1801"/>
      <c r="AJ29" s="1801"/>
      <c r="AK29" s="1801"/>
      <c r="AL29" s="1801"/>
      <c r="AM29" s="1801"/>
      <c r="AN29" s="1801"/>
      <c r="AO29" s="1801"/>
      <c r="AP29" s="1801"/>
      <c r="AQ29" s="1801"/>
      <c r="AR29" s="256"/>
      <c r="AS29" s="11"/>
    </row>
    <row r="30" spans="2:45" s="11" customFormat="1" ht="9" customHeight="1">
      <c r="B30" s="1789"/>
      <c r="C30" s="1790"/>
      <c r="D30" s="1791"/>
      <c r="E30" s="17"/>
      <c r="F30" s="988" t="s">
        <v>650</v>
      </c>
      <c r="G30" s="988"/>
      <c r="H30" s="988"/>
      <c r="I30" s="988"/>
      <c r="J30" s="988"/>
      <c r="K30" s="988"/>
      <c r="L30" s="988"/>
      <c r="M30" s="988"/>
      <c r="N30" s="988"/>
      <c r="O30" s="988"/>
      <c r="P30" s="988"/>
      <c r="Q30" s="988"/>
      <c r="R30" s="988"/>
      <c r="S30" s="988"/>
      <c r="T30" s="988"/>
      <c r="U30" s="988"/>
      <c r="V30" s="988"/>
      <c r="W30" s="988"/>
      <c r="X30" s="910"/>
      <c r="Y30" s="989"/>
      <c r="Z30" s="989"/>
      <c r="AA30" s="989"/>
      <c r="AB30" s="989"/>
      <c r="AC30" s="989"/>
      <c r="AD30" s="989"/>
      <c r="AE30" s="989"/>
      <c r="AF30" s="24"/>
      <c r="AG30" s="1799"/>
      <c r="AH30" s="1802"/>
      <c r="AI30" s="1803"/>
      <c r="AJ30" s="1803"/>
      <c r="AK30" s="1803"/>
      <c r="AL30" s="1803"/>
      <c r="AM30" s="1803"/>
      <c r="AN30" s="1803"/>
      <c r="AO30" s="1803"/>
      <c r="AP30" s="1803"/>
      <c r="AQ30" s="1803"/>
      <c r="AR30" s="263"/>
      <c r="AS30" s="11"/>
    </row>
    <row r="31" spans="2:45" s="11" customFormat="1" ht="3" customHeight="1">
      <c r="B31" s="1789"/>
      <c r="C31" s="1790"/>
      <c r="D31" s="1791"/>
      <c r="E31" s="17"/>
      <c r="F31" s="988"/>
      <c r="G31" s="988"/>
      <c r="H31" s="988"/>
      <c r="I31" s="988"/>
      <c r="J31" s="988"/>
      <c r="K31" s="988"/>
      <c r="L31" s="988"/>
      <c r="M31" s="988"/>
      <c r="N31" s="988"/>
      <c r="O31" s="988"/>
      <c r="P31" s="988"/>
      <c r="Q31" s="988"/>
      <c r="R31" s="988"/>
      <c r="S31" s="988"/>
      <c r="T31" s="988"/>
      <c r="U31" s="988"/>
      <c r="V31" s="988"/>
      <c r="W31" s="988"/>
      <c r="X31" s="989"/>
      <c r="Y31" s="989"/>
      <c r="Z31" s="989"/>
      <c r="AA31" s="989"/>
      <c r="AB31" s="989"/>
      <c r="AC31" s="989"/>
      <c r="AD31" s="989"/>
      <c r="AE31" s="989"/>
      <c r="AF31" s="24"/>
      <c r="AG31" s="34"/>
      <c r="AH31" s="287"/>
      <c r="AI31" s="287"/>
      <c r="AJ31" s="287"/>
      <c r="AK31" s="287"/>
      <c r="AL31" s="287"/>
      <c r="AM31" s="287"/>
      <c r="AN31" s="287"/>
      <c r="AO31" s="287"/>
      <c r="AP31" s="287"/>
      <c r="AQ31" s="287"/>
      <c r="AR31" s="235"/>
      <c r="AS31" s="11"/>
    </row>
    <row r="32" spans="2:45" s="11" customFormat="1" ht="15" customHeight="1">
      <c r="B32" s="1789"/>
      <c r="C32" s="1790"/>
      <c r="D32" s="1791"/>
      <c r="E32" s="41" t="s">
        <v>387</v>
      </c>
      <c r="F32" s="910" t="s">
        <v>651</v>
      </c>
      <c r="G32" s="908"/>
      <c r="H32" s="908"/>
      <c r="I32" s="908"/>
      <c r="J32" s="908"/>
      <c r="K32" s="908"/>
      <c r="L32" s="908"/>
      <c r="M32" s="908"/>
      <c r="N32" s="908"/>
      <c r="O32" s="1768" t="s">
        <v>88</v>
      </c>
      <c r="P32" s="1768"/>
      <c r="Q32" s="1768"/>
      <c r="R32" s="1768"/>
      <c r="S32" s="1768"/>
      <c r="T32" s="1768"/>
      <c r="U32" s="1768"/>
      <c r="V32" s="1768"/>
      <c r="W32" s="1768"/>
      <c r="X32" s="1768"/>
      <c r="Y32" s="1768"/>
      <c r="Z32" s="1768"/>
      <c r="AA32" s="1768"/>
      <c r="AB32" s="1768"/>
      <c r="AC32" s="1768"/>
      <c r="AD32" s="1768"/>
      <c r="AE32" s="1768"/>
      <c r="AF32" s="11"/>
      <c r="AG32" s="82">
        <v>2</v>
      </c>
      <c r="AH32" s="1800">
        <f>IF('GENERAL INFO'!K10="X","",'1770 S-1 JP'!AB38)</f>
        <v>0</v>
      </c>
      <c r="AI32" s="1801"/>
      <c r="AJ32" s="1801"/>
      <c r="AK32" s="1801"/>
      <c r="AL32" s="1801"/>
      <c r="AM32" s="1801"/>
      <c r="AN32" s="1801"/>
      <c r="AO32" s="1801"/>
      <c r="AP32" s="1801"/>
      <c r="AQ32" s="1801"/>
      <c r="AR32" s="256"/>
      <c r="AS32" s="11"/>
    </row>
    <row r="33" spans="2:45" s="11" customFormat="1" ht="9" customHeight="1">
      <c r="B33" s="1789"/>
      <c r="C33" s="1790"/>
      <c r="D33" s="1791"/>
      <c r="E33" s="17"/>
      <c r="F33" s="988" t="s">
        <v>652</v>
      </c>
      <c r="G33" s="990"/>
      <c r="H33" s="990"/>
      <c r="I33" s="990"/>
      <c r="J33" s="990"/>
      <c r="K33" s="990"/>
      <c r="L33" s="990"/>
      <c r="M33" s="990"/>
      <c r="N33" s="990"/>
      <c r="O33" s="990"/>
      <c r="P33" s="990"/>
      <c r="Q33" s="990"/>
      <c r="R33" s="989"/>
      <c r="S33" s="910"/>
      <c r="T33" s="989"/>
      <c r="U33" s="989"/>
      <c r="V33" s="989"/>
      <c r="W33" s="989"/>
      <c r="X33" s="989"/>
      <c r="Y33" s="989"/>
      <c r="Z33" s="908"/>
      <c r="AA33" s="908"/>
      <c r="AB33" s="908"/>
      <c r="AC33" s="908"/>
      <c r="AD33" s="908"/>
      <c r="AE33" s="908"/>
      <c r="AF33" s="4"/>
      <c r="AG33" s="1799"/>
      <c r="AH33" s="1802"/>
      <c r="AI33" s="1803"/>
      <c r="AJ33" s="1803"/>
      <c r="AK33" s="1803"/>
      <c r="AL33" s="1803"/>
      <c r="AM33" s="1803"/>
      <c r="AN33" s="1803"/>
      <c r="AO33" s="1803"/>
      <c r="AP33" s="1803"/>
      <c r="AQ33" s="1803"/>
      <c r="AR33" s="263"/>
      <c r="AS33" s="11"/>
    </row>
    <row r="34" spans="2:45" s="11" customFormat="1" ht="3" customHeight="1">
      <c r="B34" s="1789"/>
      <c r="C34" s="1790"/>
      <c r="D34" s="1791"/>
      <c r="E34" s="17"/>
      <c r="F34" s="988"/>
      <c r="G34" s="991"/>
      <c r="H34" s="991"/>
      <c r="I34" s="991"/>
      <c r="J34" s="991"/>
      <c r="K34" s="991"/>
      <c r="L34" s="991"/>
      <c r="M34" s="991"/>
      <c r="N34" s="991"/>
      <c r="O34" s="991"/>
      <c r="P34" s="991"/>
      <c r="Q34" s="991"/>
      <c r="R34" s="991"/>
      <c r="S34" s="991"/>
      <c r="T34" s="991"/>
      <c r="U34" s="991"/>
      <c r="V34" s="991"/>
      <c r="W34" s="991"/>
      <c r="X34" s="991"/>
      <c r="Y34" s="991"/>
      <c r="Z34" s="910"/>
      <c r="AA34" s="910"/>
      <c r="AB34" s="910"/>
      <c r="AC34" s="910"/>
      <c r="AD34" s="910"/>
      <c r="AE34" s="910"/>
      <c r="AF34" s="11"/>
      <c r="AG34" s="34"/>
      <c r="AH34" s="287"/>
      <c r="AI34" s="287"/>
      <c r="AJ34" s="287"/>
      <c r="AK34" s="287"/>
      <c r="AL34" s="287"/>
      <c r="AM34" s="287"/>
      <c r="AN34" s="287"/>
      <c r="AO34" s="287"/>
      <c r="AP34" s="287"/>
      <c r="AQ34" s="287"/>
      <c r="AR34" s="235"/>
      <c r="AS34" s="11"/>
    </row>
    <row r="35" spans="2:45" s="11" customFormat="1" ht="15" customHeight="1">
      <c r="B35" s="1789"/>
      <c r="C35" s="1790"/>
      <c r="D35" s="1791"/>
      <c r="E35" s="41" t="s">
        <v>388</v>
      </c>
      <c r="F35" s="910" t="s">
        <v>653</v>
      </c>
      <c r="G35" s="908"/>
      <c r="H35" s="908"/>
      <c r="I35" s="908"/>
      <c r="J35" s="908"/>
      <c r="K35" s="908"/>
      <c r="L35" s="1768" t="s">
        <v>158</v>
      </c>
      <c r="M35" s="1768"/>
      <c r="N35" s="1768"/>
      <c r="O35" s="1768"/>
      <c r="P35" s="1768"/>
      <c r="Q35" s="1768"/>
      <c r="R35" s="1768"/>
      <c r="S35" s="1768"/>
      <c r="T35" s="1768"/>
      <c r="U35" s="1768"/>
      <c r="V35" s="1768"/>
      <c r="W35" s="1768"/>
      <c r="X35" s="1768"/>
      <c r="Y35" s="1768"/>
      <c r="Z35" s="1768"/>
      <c r="AA35" s="1768"/>
      <c r="AB35" s="1768"/>
      <c r="AC35" s="1768"/>
      <c r="AD35" s="1768"/>
      <c r="AE35" s="1768"/>
      <c r="AF35" s="95"/>
      <c r="AG35" s="82">
        <v>3</v>
      </c>
      <c r="AH35" s="1800">
        <f>IF('GENERAL INFO'!K10="X","",IF(totaloverseasincome&lt;0,0,totaloverseasincome))</f>
        <v>0</v>
      </c>
      <c r="AI35" s="1801"/>
      <c r="AJ35" s="1801"/>
      <c r="AK35" s="1801"/>
      <c r="AL35" s="1801"/>
      <c r="AM35" s="1801"/>
      <c r="AN35" s="1801"/>
      <c r="AO35" s="1801"/>
      <c r="AP35" s="1801"/>
      <c r="AQ35" s="1801"/>
      <c r="AR35" s="256"/>
      <c r="AS35" s="11"/>
    </row>
    <row r="36" spans="2:45" s="11" customFormat="1" ht="9" customHeight="1">
      <c r="B36" s="1789"/>
      <c r="C36" s="1790"/>
      <c r="D36" s="1791"/>
      <c r="E36" s="17"/>
      <c r="F36" s="988" t="s">
        <v>654</v>
      </c>
      <c r="G36" s="988"/>
      <c r="H36" s="988"/>
      <c r="I36" s="988"/>
      <c r="J36" s="988"/>
      <c r="K36" s="988"/>
      <c r="L36" s="988"/>
      <c r="M36" s="988"/>
      <c r="N36" s="988"/>
      <c r="O36" s="988"/>
      <c r="P36" s="988"/>
      <c r="Q36" s="988"/>
      <c r="R36" s="988"/>
      <c r="S36" s="988"/>
      <c r="T36" s="988"/>
      <c r="U36" s="988"/>
      <c r="V36" s="988"/>
      <c r="W36" s="988"/>
      <c r="X36" s="988"/>
      <c r="Y36" s="988"/>
      <c r="Z36" s="988"/>
      <c r="AA36" s="988"/>
      <c r="AB36" s="988"/>
      <c r="AC36" s="988"/>
      <c r="AD36" s="988"/>
      <c r="AE36" s="988"/>
      <c r="AF36" s="95"/>
      <c r="AG36" s="1799"/>
      <c r="AH36" s="1802"/>
      <c r="AI36" s="1803"/>
      <c r="AJ36" s="1803"/>
      <c r="AK36" s="1803"/>
      <c r="AL36" s="1803"/>
      <c r="AM36" s="1803"/>
      <c r="AN36" s="1803"/>
      <c r="AO36" s="1803"/>
      <c r="AP36" s="1803"/>
      <c r="AQ36" s="1803"/>
      <c r="AR36" s="263"/>
      <c r="AS36" s="11"/>
    </row>
    <row r="37" spans="2:45" s="11" customFormat="1" ht="3" customHeight="1">
      <c r="B37" s="1789"/>
      <c r="C37" s="1790"/>
      <c r="D37" s="1791"/>
      <c r="E37" s="17"/>
      <c r="F37" s="992"/>
      <c r="G37" s="992"/>
      <c r="H37" s="992"/>
      <c r="I37" s="992"/>
      <c r="J37" s="992"/>
      <c r="K37" s="992"/>
      <c r="L37" s="992"/>
      <c r="M37" s="992"/>
      <c r="N37" s="992"/>
      <c r="O37" s="992"/>
      <c r="P37" s="992"/>
      <c r="Q37" s="992"/>
      <c r="R37" s="992"/>
      <c r="S37" s="992"/>
      <c r="T37" s="992"/>
      <c r="U37" s="992"/>
      <c r="V37" s="992"/>
      <c r="W37" s="992"/>
      <c r="X37" s="992"/>
      <c r="Y37" s="992"/>
      <c r="Z37" s="992"/>
      <c r="AA37" s="992"/>
      <c r="AB37" s="992"/>
      <c r="AC37" s="992"/>
      <c r="AD37" s="910"/>
      <c r="AE37" s="910"/>
      <c r="AF37" s="11"/>
      <c r="AG37" s="34"/>
      <c r="AH37" s="287"/>
      <c r="AI37" s="287"/>
      <c r="AJ37" s="287"/>
      <c r="AK37" s="287"/>
      <c r="AL37" s="287"/>
      <c r="AM37" s="287"/>
      <c r="AN37" s="287"/>
      <c r="AO37" s="287"/>
      <c r="AP37" s="287"/>
      <c r="AQ37" s="287"/>
      <c r="AR37" s="235"/>
      <c r="AS37" s="11"/>
    </row>
    <row r="38" spans="2:45" s="11" customFormat="1" ht="15" customHeight="1">
      <c r="B38" s="1789"/>
      <c r="C38" s="1790"/>
      <c r="D38" s="1791"/>
      <c r="E38" s="41" t="s">
        <v>389</v>
      </c>
      <c r="F38" s="910" t="s">
        <v>655</v>
      </c>
      <c r="G38" s="908"/>
      <c r="H38" s="908"/>
      <c r="I38" s="908"/>
      <c r="J38" s="908"/>
      <c r="K38" s="908"/>
      <c r="L38" s="908"/>
      <c r="M38" s="1768" t="s">
        <v>1066</v>
      </c>
      <c r="N38" s="1768"/>
      <c r="O38" s="1768"/>
      <c r="P38" s="1768"/>
      <c r="Q38" s="1768"/>
      <c r="R38" s="1768"/>
      <c r="S38" s="1768"/>
      <c r="T38" s="1768"/>
      <c r="U38" s="1768"/>
      <c r="V38" s="1768"/>
      <c r="W38" s="1768"/>
      <c r="X38" s="1768"/>
      <c r="Y38" s="1768"/>
      <c r="Z38" s="1768"/>
      <c r="AA38" s="1768"/>
      <c r="AB38" s="1768"/>
      <c r="AC38" s="1768"/>
      <c r="AD38" s="1768"/>
      <c r="AE38" s="1768"/>
      <c r="AF38" s="797"/>
      <c r="AG38" s="82">
        <v>4</v>
      </c>
      <c r="AH38" s="1800">
        <f>SUM(AH29:AR36)</f>
        <v>0</v>
      </c>
      <c r="AI38" s="1801"/>
      <c r="AJ38" s="1801"/>
      <c r="AK38" s="1801"/>
      <c r="AL38" s="1801"/>
      <c r="AM38" s="1801"/>
      <c r="AN38" s="1801"/>
      <c r="AO38" s="1801"/>
      <c r="AP38" s="1801"/>
      <c r="AQ38" s="1801"/>
      <c r="AR38" s="256"/>
      <c r="AS38" s="11"/>
    </row>
    <row r="39" spans="2:45" s="11" customFormat="1" ht="9" customHeight="1">
      <c r="B39" s="1789"/>
      <c r="C39" s="1790"/>
      <c r="D39" s="1791"/>
      <c r="E39" s="17"/>
      <c r="F39" s="910"/>
      <c r="G39" s="910"/>
      <c r="H39" s="910"/>
      <c r="I39" s="910"/>
      <c r="J39" s="910"/>
      <c r="K39" s="910"/>
      <c r="L39" s="910"/>
      <c r="M39" s="910"/>
      <c r="N39" s="910"/>
      <c r="O39" s="910"/>
      <c r="P39" s="910"/>
      <c r="Q39" s="910"/>
      <c r="R39" s="910"/>
      <c r="S39" s="910"/>
      <c r="T39" s="910"/>
      <c r="U39" s="910"/>
      <c r="V39" s="910"/>
      <c r="W39" s="910"/>
      <c r="X39" s="910"/>
      <c r="Y39" s="993"/>
      <c r="Z39" s="993"/>
      <c r="AA39" s="993"/>
      <c r="AB39" s="993"/>
      <c r="AC39" s="993"/>
      <c r="AD39" s="993"/>
      <c r="AE39" s="993"/>
      <c r="AF39" s="797"/>
      <c r="AG39" s="1799"/>
      <c r="AH39" s="1802"/>
      <c r="AI39" s="1803"/>
      <c r="AJ39" s="1803"/>
      <c r="AK39" s="1803"/>
      <c r="AL39" s="1803"/>
      <c r="AM39" s="1803"/>
      <c r="AN39" s="1803"/>
      <c r="AO39" s="1803"/>
      <c r="AP39" s="1803"/>
      <c r="AQ39" s="1803"/>
      <c r="AR39" s="263"/>
      <c r="AS39" s="11"/>
    </row>
    <row r="40" spans="2:45" s="11" customFormat="1" ht="3" customHeight="1">
      <c r="B40" s="1789"/>
      <c r="C40" s="1790"/>
      <c r="D40" s="1791"/>
      <c r="E40" s="17"/>
      <c r="F40" s="910"/>
      <c r="G40" s="910"/>
      <c r="H40" s="910"/>
      <c r="I40" s="910"/>
      <c r="J40" s="910"/>
      <c r="K40" s="910"/>
      <c r="L40" s="910"/>
      <c r="M40" s="910"/>
      <c r="N40" s="910"/>
      <c r="O40" s="910"/>
      <c r="P40" s="910"/>
      <c r="Q40" s="910"/>
      <c r="R40" s="910"/>
      <c r="S40" s="910"/>
      <c r="T40" s="910"/>
      <c r="U40" s="910"/>
      <c r="V40" s="910"/>
      <c r="W40" s="910"/>
      <c r="X40" s="910"/>
      <c r="Y40" s="910"/>
      <c r="Z40" s="910"/>
      <c r="AA40" s="910"/>
      <c r="AB40" s="910"/>
      <c r="AC40" s="910"/>
      <c r="AD40" s="910"/>
      <c r="AE40" s="910"/>
      <c r="AF40" s="11"/>
      <c r="AG40" s="34"/>
      <c r="AH40" s="287"/>
      <c r="AI40" s="287"/>
      <c r="AJ40" s="287"/>
      <c r="AK40" s="287"/>
      <c r="AL40" s="287"/>
      <c r="AM40" s="287"/>
      <c r="AN40" s="287"/>
      <c r="AO40" s="287"/>
      <c r="AP40" s="287"/>
      <c r="AQ40" s="287"/>
      <c r="AR40" s="235"/>
      <c r="AS40" s="11"/>
    </row>
    <row r="41" spans="2:45" s="11" customFormat="1" ht="15" customHeight="1">
      <c r="B41" s="1789"/>
      <c r="C41" s="1790"/>
      <c r="D41" s="1791"/>
      <c r="E41" s="41" t="s">
        <v>390</v>
      </c>
      <c r="F41" s="910" t="s">
        <v>656</v>
      </c>
      <c r="G41" s="908"/>
      <c r="H41" s="908"/>
      <c r="I41" s="908"/>
      <c r="J41" s="908"/>
      <c r="K41" s="908"/>
      <c r="L41" s="908"/>
      <c r="M41" s="1768" t="s">
        <v>1067</v>
      </c>
      <c r="N41" s="1768"/>
      <c r="O41" s="1768"/>
      <c r="P41" s="1768"/>
      <c r="Q41" s="1768"/>
      <c r="R41" s="1768"/>
      <c r="S41" s="1768"/>
      <c r="T41" s="1768"/>
      <c r="U41" s="1768"/>
      <c r="V41" s="1768"/>
      <c r="W41" s="1768"/>
      <c r="X41" s="1768"/>
      <c r="Y41" s="1768"/>
      <c r="Z41" s="1768"/>
      <c r="AA41" s="1768"/>
      <c r="AB41" s="1768"/>
      <c r="AC41" s="1768"/>
      <c r="AD41" s="1768"/>
      <c r="AE41" s="1768"/>
      <c r="AF41" s="11"/>
      <c r="AG41" s="82">
        <v>5</v>
      </c>
      <c r="AH41" s="1800">
        <f>IF('GENERAL INFO'!K10="X","",0)</f>
        <v>0</v>
      </c>
      <c r="AI41" s="1801"/>
      <c r="AJ41" s="1801"/>
      <c r="AK41" s="1801"/>
      <c r="AL41" s="1801"/>
      <c r="AM41" s="1801"/>
      <c r="AN41" s="1801"/>
      <c r="AO41" s="1801"/>
      <c r="AP41" s="1801"/>
      <c r="AQ41" s="1801"/>
      <c r="AR41" s="256"/>
      <c r="AS41" s="11"/>
    </row>
    <row r="42" spans="2:45" s="11" customFormat="1" ht="9" customHeight="1">
      <c r="B42" s="1789"/>
      <c r="C42" s="1790"/>
      <c r="D42" s="1791"/>
      <c r="E42" s="17"/>
      <c r="F42" s="910"/>
      <c r="G42" s="910"/>
      <c r="H42" s="910"/>
      <c r="I42" s="910"/>
      <c r="J42" s="910"/>
      <c r="K42" s="910"/>
      <c r="L42" s="910"/>
      <c r="M42" s="910"/>
      <c r="N42" s="910"/>
      <c r="O42" s="910"/>
      <c r="P42" s="910"/>
      <c r="Q42" s="910"/>
      <c r="R42" s="910"/>
      <c r="S42" s="910"/>
      <c r="T42" s="910"/>
      <c r="U42" s="910"/>
      <c r="V42" s="910"/>
      <c r="W42" s="910"/>
      <c r="X42" s="910"/>
      <c r="Y42" s="910"/>
      <c r="Z42" s="910"/>
      <c r="AA42" s="910"/>
      <c r="AB42" s="910"/>
      <c r="AC42" s="910"/>
      <c r="AD42" s="910"/>
      <c r="AE42" s="910"/>
      <c r="AF42" s="11"/>
      <c r="AG42" s="1799"/>
      <c r="AH42" s="1802"/>
      <c r="AI42" s="1803"/>
      <c r="AJ42" s="1803"/>
      <c r="AK42" s="1803"/>
      <c r="AL42" s="1803"/>
      <c r="AM42" s="1803"/>
      <c r="AN42" s="1803"/>
      <c r="AO42" s="1803"/>
      <c r="AP42" s="1803"/>
      <c r="AQ42" s="1803"/>
      <c r="AR42" s="263"/>
      <c r="AS42" s="11"/>
    </row>
    <row r="43" spans="2:45" s="11" customFormat="1" ht="3" customHeight="1">
      <c r="B43" s="1789"/>
      <c r="C43" s="1790"/>
      <c r="D43" s="1791"/>
      <c r="E43" s="17"/>
      <c r="F43" s="910"/>
      <c r="G43" s="910"/>
      <c r="H43" s="910"/>
      <c r="I43" s="910"/>
      <c r="J43" s="910"/>
      <c r="K43" s="910"/>
      <c r="L43" s="910"/>
      <c r="M43" s="910"/>
      <c r="N43" s="910"/>
      <c r="O43" s="910"/>
      <c r="P43" s="910"/>
      <c r="Q43" s="910"/>
      <c r="R43" s="910"/>
      <c r="S43" s="910"/>
      <c r="T43" s="910"/>
      <c r="U43" s="910"/>
      <c r="V43" s="910"/>
      <c r="W43" s="910"/>
      <c r="X43" s="910"/>
      <c r="Y43" s="910"/>
      <c r="Z43" s="910"/>
      <c r="AA43" s="910"/>
      <c r="AB43" s="910"/>
      <c r="AC43" s="910"/>
      <c r="AD43" s="910"/>
      <c r="AE43" s="910"/>
      <c r="AF43" s="11"/>
      <c r="AG43" s="34"/>
      <c r="AH43" s="287"/>
      <c r="AI43" s="287"/>
      <c r="AJ43" s="287"/>
      <c r="AK43" s="287"/>
      <c r="AL43" s="287"/>
      <c r="AM43" s="287"/>
      <c r="AN43" s="287"/>
      <c r="AO43" s="287"/>
      <c r="AP43" s="287"/>
      <c r="AQ43" s="287"/>
      <c r="AR43" s="235"/>
      <c r="AS43" s="11"/>
    </row>
    <row r="44" spans="2:45" s="11" customFormat="1" ht="15" customHeight="1">
      <c r="B44" s="1789"/>
      <c r="C44" s="1790"/>
      <c r="D44" s="1791"/>
      <c r="E44" s="41" t="s">
        <v>391</v>
      </c>
      <c r="F44" s="908" t="s">
        <v>657</v>
      </c>
      <c r="G44" s="908"/>
      <c r="H44" s="908"/>
      <c r="I44" s="908"/>
      <c r="J44" s="908"/>
      <c r="K44" s="908"/>
      <c r="L44" s="908"/>
      <c r="M44" s="908"/>
      <c r="N44" s="908"/>
      <c r="O44" s="1766" t="s">
        <v>1068</v>
      </c>
      <c r="P44" s="1766"/>
      <c r="Q44" s="1766"/>
      <c r="R44" s="1766"/>
      <c r="S44" s="1766"/>
      <c r="T44" s="1766"/>
      <c r="U44" s="1766"/>
      <c r="V44" s="1766"/>
      <c r="W44" s="1766"/>
      <c r="X44" s="1766"/>
      <c r="Y44" s="1766"/>
      <c r="Z44" s="1766"/>
      <c r="AA44" s="1766"/>
      <c r="AB44" s="1766"/>
      <c r="AC44" s="1766"/>
      <c r="AD44" s="1766"/>
      <c r="AE44" s="1766"/>
      <c r="AF44" s="11"/>
      <c r="AG44" s="82">
        <v>6</v>
      </c>
      <c r="AH44" s="1800">
        <f>IF('GENERAL INFO'!K10="X","",(AH38-AH41))</f>
        <v>0</v>
      </c>
      <c r="AI44" s="1801"/>
      <c r="AJ44" s="1801"/>
      <c r="AK44" s="1801"/>
      <c r="AL44" s="1801"/>
      <c r="AM44" s="1801"/>
      <c r="AN44" s="1801"/>
      <c r="AO44" s="1801"/>
      <c r="AP44" s="1801"/>
      <c r="AQ44" s="1801"/>
      <c r="AR44" s="256"/>
      <c r="AS44" s="11"/>
    </row>
    <row r="45" spans="2:45" s="11" customFormat="1" ht="12" customHeight="1">
      <c r="B45" s="1789"/>
      <c r="C45" s="1790"/>
      <c r="D45" s="1791"/>
      <c r="E45" s="41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11"/>
      <c r="AA45" s="11"/>
      <c r="AB45" s="11"/>
      <c r="AC45" s="11"/>
      <c r="AD45" s="11"/>
      <c r="AE45" s="11"/>
      <c r="AF45" s="11"/>
      <c r="AG45" s="1799"/>
      <c r="AH45" s="1802"/>
      <c r="AI45" s="1803"/>
      <c r="AJ45" s="1803"/>
      <c r="AK45" s="1803"/>
      <c r="AL45" s="1803"/>
      <c r="AM45" s="1803"/>
      <c r="AN45" s="1803"/>
      <c r="AO45" s="1803"/>
      <c r="AP45" s="1803"/>
      <c r="AQ45" s="1803"/>
      <c r="AR45" s="263"/>
      <c r="AS45" s="11"/>
    </row>
    <row r="46" spans="2:45" s="11" customFormat="1" ht="4" customHeight="1">
      <c r="B46" s="1792"/>
      <c r="C46" s="1793"/>
      <c r="D46" s="1794"/>
      <c r="E46" s="130"/>
      <c r="F46" s="128"/>
      <c r="G46" s="128"/>
      <c r="H46" s="128"/>
      <c r="I46" s="128"/>
      <c r="J46" s="128"/>
      <c r="K46" s="128"/>
      <c r="L46" s="128"/>
      <c r="M46" s="128"/>
      <c r="N46" s="128"/>
      <c r="O46" s="128"/>
      <c r="P46" s="128"/>
      <c r="Q46" s="128"/>
      <c r="R46" s="128"/>
      <c r="S46" s="128"/>
      <c r="T46" s="128"/>
      <c r="U46" s="128"/>
      <c r="V46" s="128"/>
      <c r="W46" s="128"/>
      <c r="X46" s="128"/>
      <c r="Y46" s="128"/>
      <c r="Z46" s="128"/>
      <c r="AA46" s="128"/>
      <c r="AB46" s="128"/>
      <c r="AC46" s="128"/>
      <c r="AD46" s="128"/>
      <c r="AE46" s="128"/>
      <c r="AF46" s="128"/>
      <c r="AG46" s="131"/>
      <c r="AH46" s="288"/>
      <c r="AI46" s="288"/>
      <c r="AJ46" s="288"/>
      <c r="AK46" s="288"/>
      <c r="AL46" s="288"/>
      <c r="AM46" s="288"/>
      <c r="AN46" s="288"/>
      <c r="AO46" s="288"/>
      <c r="AP46" s="288"/>
      <c r="AQ46" s="288"/>
      <c r="AR46" s="238"/>
      <c r="AS46" s="11"/>
    </row>
    <row r="47" spans="2:45" s="11" customFormat="1" ht="4" customHeight="1">
      <c r="B47" s="1804" t="s">
        <v>658</v>
      </c>
      <c r="C47" s="1805"/>
      <c r="D47" s="1806"/>
      <c r="E47" s="132"/>
      <c r="F47" s="133"/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  <c r="AA47" s="133"/>
      <c r="AB47" s="133"/>
      <c r="AC47" s="133"/>
      <c r="AD47" s="133"/>
      <c r="AE47" s="133"/>
      <c r="AF47" s="133"/>
      <c r="AG47" s="134"/>
      <c r="AH47" s="289"/>
      <c r="AI47" s="289"/>
      <c r="AJ47" s="289"/>
      <c r="AK47" s="289"/>
      <c r="AL47" s="289"/>
      <c r="AM47" s="289"/>
      <c r="AN47" s="289"/>
      <c r="AO47" s="289"/>
      <c r="AP47" s="289"/>
      <c r="AQ47" s="289"/>
      <c r="AR47" s="239"/>
      <c r="AS47" s="11"/>
    </row>
    <row r="48" spans="2:45" s="11" customFormat="1" ht="7" customHeight="1">
      <c r="B48" s="1807"/>
      <c r="C48" s="1808"/>
      <c r="D48" s="1809"/>
      <c r="E48" s="49"/>
      <c r="F48" s="11"/>
      <c r="G48" s="11"/>
      <c r="H48" s="11"/>
      <c r="I48" s="11"/>
      <c r="J48" s="11"/>
      <c r="K48" s="11"/>
      <c r="L48" s="11"/>
      <c r="M48" s="11"/>
      <c r="N48" s="11"/>
      <c r="O48" s="16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34"/>
      <c r="AH48" s="287"/>
      <c r="AI48" s="287"/>
      <c r="AJ48" s="287"/>
      <c r="AK48" s="287"/>
      <c r="AL48" s="287"/>
      <c r="AM48" s="287"/>
      <c r="AN48" s="287"/>
      <c r="AO48" s="287"/>
      <c r="AP48" s="287"/>
      <c r="AQ48" s="287"/>
      <c r="AR48" s="235"/>
      <c r="AS48" s="11"/>
    </row>
    <row r="49" spans="2:45" s="11" customFormat="1" ht="15" customHeight="1">
      <c r="B49" s="1807"/>
      <c r="C49" s="1808"/>
      <c r="D49" s="1809"/>
      <c r="E49" s="41" t="s">
        <v>394</v>
      </c>
      <c r="F49" s="908" t="s">
        <v>659</v>
      </c>
      <c r="G49" s="908"/>
      <c r="H49" s="908"/>
      <c r="I49" s="908"/>
      <c r="J49" s="4"/>
      <c r="K49" s="4"/>
      <c r="L49" s="4"/>
      <c r="M49" s="4"/>
      <c r="N49" s="4"/>
      <c r="O49" s="192" t="s">
        <v>660</v>
      </c>
      <c r="P49" s="241" t="str">
        <f>IF('GENERAL INFO'!K10="",IF(MARITAL="SINGLE",DEPENDENT,""),"")</f>
        <v/>
      </c>
      <c r="R49" s="192"/>
      <c r="S49" s="364" t="s">
        <v>661</v>
      </c>
      <c r="T49" s="1329" t="str">
        <f>IF('GENERAL INFO'!K10="",IF(MARITAL="married",DEPENDENT,""),"")</f>
        <v/>
      </c>
      <c r="U49" s="1813"/>
      <c r="V49" s="1813"/>
      <c r="W49" s="1813"/>
      <c r="X49" s="1329" t="str">
        <f>IF('GENERAL INFO'!K10="",IF(MARITAL="married+",DEPENDENT,""),"")</f>
        <v/>
      </c>
      <c r="Z49" s="365"/>
      <c r="AA49" s="365"/>
      <c r="AB49" s="365"/>
      <c r="AC49" s="365"/>
      <c r="AD49" s="365"/>
      <c r="AE49" s="365"/>
      <c r="AF49" s="11"/>
      <c r="AG49" s="82">
        <v>7</v>
      </c>
      <c r="AH49" s="1800">
        <f>IF('GENERAL INFO'!K10="X","",'CalculationSheet'!R28)</f>
        <v>0</v>
      </c>
      <c r="AI49" s="1801"/>
      <c r="AJ49" s="1801"/>
      <c r="AK49" s="1801"/>
      <c r="AL49" s="1801"/>
      <c r="AM49" s="1801"/>
      <c r="AN49" s="1801"/>
      <c r="AO49" s="1801"/>
      <c r="AP49" s="1801"/>
      <c r="AQ49" s="1801"/>
      <c r="AR49" s="256"/>
      <c r="AS49" s="11"/>
    </row>
    <row r="50" spans="2:45" s="11" customFormat="1" ht="13.5" customHeight="1">
      <c r="B50" s="1807"/>
      <c r="C50" s="1808"/>
      <c r="D50" s="1809"/>
      <c r="E50" s="17"/>
      <c r="F50" s="910"/>
      <c r="G50" s="910"/>
      <c r="H50" s="910"/>
      <c r="I50" s="910"/>
      <c r="J50" s="11"/>
      <c r="K50" s="11"/>
      <c r="L50" s="11"/>
      <c r="M50" s="11"/>
      <c r="N50" s="11"/>
      <c r="O50" s="11"/>
      <c r="P50" s="366"/>
      <c r="Q50" s="11"/>
      <c r="R50" s="11"/>
      <c r="S50" s="11"/>
      <c r="T50" s="366"/>
      <c r="U50" s="11"/>
      <c r="V50" s="11"/>
      <c r="W50" s="366" t="s">
        <v>662</v>
      </c>
      <c r="X50" s="11"/>
      <c r="Y50" s="11"/>
      <c r="Z50" s="11"/>
      <c r="AA50" s="11"/>
      <c r="AB50" s="11"/>
      <c r="AC50" s="11"/>
      <c r="AD50" s="366"/>
      <c r="AE50" s="11"/>
      <c r="AF50" s="11"/>
      <c r="AG50" s="1799"/>
      <c r="AH50" s="1802"/>
      <c r="AI50" s="1803"/>
      <c r="AJ50" s="1803"/>
      <c r="AK50" s="1803"/>
      <c r="AL50" s="1803"/>
      <c r="AM50" s="1803"/>
      <c r="AN50" s="1803"/>
      <c r="AO50" s="1803"/>
      <c r="AP50" s="1803"/>
      <c r="AQ50" s="1803"/>
      <c r="AR50" s="263"/>
      <c r="AS50" s="11"/>
    </row>
    <row r="51" spans="2:45" s="11" customFormat="1" ht="3" customHeight="1">
      <c r="B51" s="1807"/>
      <c r="C51" s="1808"/>
      <c r="D51" s="1809"/>
      <c r="E51" s="17"/>
      <c r="F51" s="910"/>
      <c r="G51" s="910"/>
      <c r="H51" s="910"/>
      <c r="I51" s="910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34"/>
      <c r="AH51" s="287"/>
      <c r="AI51" s="287"/>
      <c r="AJ51" s="287"/>
      <c r="AK51" s="287"/>
      <c r="AL51" s="287"/>
      <c r="AM51" s="287"/>
      <c r="AN51" s="287"/>
      <c r="AO51" s="287"/>
      <c r="AP51" s="287"/>
      <c r="AQ51" s="287"/>
      <c r="AR51" s="235"/>
      <c r="AS51" s="11"/>
    </row>
    <row r="52" spans="2:45" s="11" customFormat="1" ht="15" customHeight="1">
      <c r="B52" s="1807"/>
      <c r="C52" s="1808"/>
      <c r="D52" s="1809"/>
      <c r="E52" s="41" t="s">
        <v>395</v>
      </c>
      <c r="F52" s="908" t="s">
        <v>663</v>
      </c>
      <c r="G52" s="908"/>
      <c r="H52" s="908"/>
      <c r="I52" s="908"/>
      <c r="J52" s="4"/>
      <c r="K52" s="12" t="s">
        <v>1069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1"/>
      <c r="AG52" s="82">
        <v>8</v>
      </c>
      <c r="AH52" s="1800">
        <f>IF('GENERAL INFO'!K10="X"," ",IF((AH44-AH49)&gt;0,AH44-AH49,0))</f>
        <v>0</v>
      </c>
      <c r="AI52" s="1801"/>
      <c r="AJ52" s="1801"/>
      <c r="AK52" s="1801"/>
      <c r="AL52" s="1801"/>
      <c r="AM52" s="1801"/>
      <c r="AN52" s="1801"/>
      <c r="AO52" s="1801"/>
      <c r="AP52" s="1801"/>
      <c r="AQ52" s="1801"/>
      <c r="AR52" s="256"/>
      <c r="AS52" s="11"/>
    </row>
    <row r="53" spans="2:45" s="11" customFormat="1" ht="9" customHeight="1">
      <c r="B53" s="1807"/>
      <c r="C53" s="1808"/>
      <c r="D53" s="1809"/>
      <c r="E53" s="41"/>
      <c r="F53" s="4"/>
      <c r="G53" s="4"/>
      <c r="H53" s="4"/>
      <c r="I53" s="4"/>
      <c r="J53" s="4"/>
      <c r="K53" s="4"/>
      <c r="L53" s="4"/>
      <c r="M53" s="4"/>
      <c r="N53" s="4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84"/>
      <c r="AH53" s="1802"/>
      <c r="AI53" s="1803"/>
      <c r="AJ53" s="1803"/>
      <c r="AK53" s="1803"/>
      <c r="AL53" s="1803"/>
      <c r="AM53" s="1803"/>
      <c r="AN53" s="1803"/>
      <c r="AO53" s="1803"/>
      <c r="AP53" s="1803"/>
      <c r="AQ53" s="1803"/>
      <c r="AR53" s="263"/>
      <c r="AS53" s="11"/>
    </row>
    <row r="54" spans="2:45" s="11" customFormat="1" ht="4" customHeight="1">
      <c r="B54" s="1810"/>
      <c r="C54" s="1811"/>
      <c r="D54" s="1812"/>
      <c r="E54" s="130"/>
      <c r="F54" s="128"/>
      <c r="G54" s="128"/>
      <c r="H54" s="128"/>
      <c r="I54" s="128"/>
      <c r="J54" s="128"/>
      <c r="K54" s="128"/>
      <c r="L54" s="128"/>
      <c r="M54" s="128"/>
      <c r="N54" s="128"/>
      <c r="O54" s="128"/>
      <c r="P54" s="128"/>
      <c r="Q54" s="128"/>
      <c r="R54" s="128"/>
      <c r="S54" s="128"/>
      <c r="T54" s="128"/>
      <c r="U54" s="128"/>
      <c r="V54" s="128"/>
      <c r="W54" s="128"/>
      <c r="X54" s="128"/>
      <c r="Y54" s="128"/>
      <c r="Z54" s="128"/>
      <c r="AA54" s="128"/>
      <c r="AB54" s="128"/>
      <c r="AC54" s="128"/>
      <c r="AD54" s="128"/>
      <c r="AE54" s="128"/>
      <c r="AF54" s="128"/>
      <c r="AG54" s="131"/>
      <c r="AH54" s="288"/>
      <c r="AI54" s="288"/>
      <c r="AJ54" s="288"/>
      <c r="AK54" s="288"/>
      <c r="AL54" s="288"/>
      <c r="AM54" s="288"/>
      <c r="AN54" s="288"/>
      <c r="AO54" s="288"/>
      <c r="AP54" s="288"/>
      <c r="AQ54" s="288"/>
      <c r="AR54" s="238"/>
      <c r="AS54" s="11"/>
    </row>
    <row r="55" spans="2:45" s="11" customFormat="1" ht="3" customHeight="1">
      <c r="B55" s="157"/>
      <c r="C55" s="41"/>
      <c r="D55" s="121"/>
      <c r="E55" s="17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34"/>
      <c r="AH55" s="287"/>
      <c r="AI55" s="287"/>
      <c r="AJ55" s="287"/>
      <c r="AK55" s="287"/>
      <c r="AL55" s="287"/>
      <c r="AM55" s="287"/>
      <c r="AN55" s="287"/>
      <c r="AO55" s="287"/>
      <c r="AP55" s="287"/>
      <c r="AQ55" s="287"/>
      <c r="AR55" s="235"/>
      <c r="AS55" s="11"/>
    </row>
    <row r="56" spans="2:45" s="11" customFormat="1" ht="7" customHeight="1">
      <c r="B56" s="1789" t="s">
        <v>664</v>
      </c>
      <c r="C56" s="1790"/>
      <c r="D56" s="1791"/>
      <c r="E56" s="49"/>
      <c r="F56" s="11"/>
      <c r="G56" s="11"/>
      <c r="H56" s="11"/>
      <c r="I56" s="11"/>
      <c r="J56" s="11"/>
      <c r="K56" s="16"/>
      <c r="L56" s="16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34"/>
      <c r="AH56" s="287"/>
      <c r="AI56" s="287"/>
      <c r="AJ56" s="287"/>
      <c r="AK56" s="287"/>
      <c r="AL56" s="287"/>
      <c r="AM56" s="287"/>
      <c r="AN56" s="287"/>
      <c r="AO56" s="287"/>
      <c r="AP56" s="287"/>
      <c r="AQ56" s="287"/>
      <c r="AR56" s="235"/>
      <c r="AS56" s="11"/>
    </row>
    <row r="57" spans="2:45" s="11" customFormat="1" ht="15" customHeight="1">
      <c r="B57" s="1789"/>
      <c r="C57" s="1790"/>
      <c r="D57" s="1791"/>
      <c r="E57" s="41" t="s">
        <v>396</v>
      </c>
      <c r="F57" s="994" t="s">
        <v>665</v>
      </c>
      <c r="G57" s="908"/>
      <c r="H57" s="908"/>
      <c r="I57" s="908"/>
      <c r="J57" s="908" t="s">
        <v>666</v>
      </c>
      <c r="K57" s="910"/>
      <c r="L57" s="908"/>
      <c r="M57" s="908"/>
      <c r="N57" s="908"/>
      <c r="O57" s="908"/>
      <c r="P57" s="908"/>
      <c r="Q57" s="908"/>
      <c r="R57" s="908"/>
      <c r="S57" s="908"/>
      <c r="T57" s="908"/>
      <c r="U57" s="908"/>
      <c r="V57" s="908" t="s">
        <v>667</v>
      </c>
      <c r="W57" s="910"/>
      <c r="X57" s="908"/>
      <c r="Y57" s="908"/>
      <c r="Z57" s="908"/>
      <c r="AA57" s="908"/>
      <c r="AB57" s="908"/>
      <c r="AC57" s="908"/>
      <c r="AD57" s="908"/>
      <c r="AE57" s="908"/>
      <c r="AF57" s="4"/>
      <c r="AG57" s="82">
        <v>9</v>
      </c>
      <c r="AH57" s="1800" t="e">
        <f>IF('GENERAL INFO'!K10="X","",'Attachment JP'!X41)</f>
        <v>#DIV/0!</v>
      </c>
      <c r="AI57" s="1801"/>
      <c r="AJ57" s="1801"/>
      <c r="AK57" s="1801"/>
      <c r="AL57" s="1801"/>
      <c r="AM57" s="1801"/>
      <c r="AN57" s="1801"/>
      <c r="AO57" s="1801"/>
      <c r="AP57" s="1801"/>
      <c r="AQ57" s="1801"/>
      <c r="AR57" s="256"/>
      <c r="AS57" s="11"/>
    </row>
    <row r="58" spans="2:45" s="11" customFormat="1" ht="9" customHeight="1">
      <c r="B58" s="1789"/>
      <c r="C58" s="1790"/>
      <c r="D58" s="1791"/>
      <c r="E58" s="41"/>
      <c r="F58" s="908"/>
      <c r="G58" s="908"/>
      <c r="H58" s="908"/>
      <c r="I58" s="908"/>
      <c r="J58" s="908"/>
      <c r="K58" s="908"/>
      <c r="L58" s="908"/>
      <c r="M58" s="908"/>
      <c r="N58" s="908"/>
      <c r="O58" s="908"/>
      <c r="P58" s="908"/>
      <c r="Q58" s="908"/>
      <c r="R58" s="908"/>
      <c r="S58" s="908"/>
      <c r="T58" s="908"/>
      <c r="U58" s="908"/>
      <c r="V58" s="908"/>
      <c r="W58" s="908"/>
      <c r="X58" s="908"/>
      <c r="Y58" s="908"/>
      <c r="Z58" s="908"/>
      <c r="AA58" s="908"/>
      <c r="AB58" s="908"/>
      <c r="AC58" s="908"/>
      <c r="AD58" s="908"/>
      <c r="AE58" s="908"/>
      <c r="AF58" s="4"/>
      <c r="AG58" s="1799"/>
      <c r="AH58" s="1802"/>
      <c r="AI58" s="1803"/>
      <c r="AJ58" s="1803"/>
      <c r="AK58" s="1803"/>
      <c r="AL58" s="1803"/>
      <c r="AM58" s="1803"/>
      <c r="AN58" s="1803"/>
      <c r="AO58" s="1803"/>
      <c r="AP58" s="1803"/>
      <c r="AQ58" s="1803"/>
      <c r="AR58" s="263"/>
      <c r="AS58" s="11"/>
    </row>
    <row r="59" spans="2:45" s="11" customFormat="1" ht="3" customHeight="1">
      <c r="B59" s="1789"/>
      <c r="C59" s="1790"/>
      <c r="D59" s="1791"/>
      <c r="E59" s="41"/>
      <c r="F59" s="908"/>
      <c r="G59" s="908"/>
      <c r="H59" s="908"/>
      <c r="I59" s="908"/>
      <c r="J59" s="908"/>
      <c r="K59" s="908"/>
      <c r="L59" s="908"/>
      <c r="M59" s="908"/>
      <c r="N59" s="908"/>
      <c r="O59" s="908"/>
      <c r="P59" s="908"/>
      <c r="Q59" s="908"/>
      <c r="R59" s="908"/>
      <c r="S59" s="908"/>
      <c r="T59" s="908"/>
      <c r="U59" s="908"/>
      <c r="V59" s="908"/>
      <c r="W59" s="908"/>
      <c r="X59" s="908"/>
      <c r="Y59" s="908"/>
      <c r="Z59" s="908"/>
      <c r="AA59" s="908"/>
      <c r="AB59" s="908"/>
      <c r="AC59" s="908"/>
      <c r="AD59" s="908"/>
      <c r="AE59" s="908"/>
      <c r="AF59" s="4"/>
      <c r="AG59" s="34"/>
      <c r="AH59" s="287"/>
      <c r="AI59" s="287"/>
      <c r="AJ59" s="287"/>
      <c r="AK59" s="287"/>
      <c r="AL59" s="287"/>
      <c r="AM59" s="287"/>
      <c r="AN59" s="287"/>
      <c r="AO59" s="287"/>
      <c r="AP59" s="287"/>
      <c r="AQ59" s="287"/>
      <c r="AR59" s="235"/>
      <c r="AS59" s="11"/>
    </row>
    <row r="60" spans="2:45" s="11" customFormat="1" ht="15" customHeight="1">
      <c r="B60" s="1789"/>
      <c r="C60" s="1790"/>
      <c r="D60" s="1791"/>
      <c r="E60" s="41" t="s">
        <v>397</v>
      </c>
      <c r="F60" s="908" t="s">
        <v>1196</v>
      </c>
      <c r="G60" s="908"/>
      <c r="H60" s="908"/>
      <c r="I60" s="908"/>
      <c r="J60" s="908"/>
      <c r="K60" s="908"/>
      <c r="L60" s="908"/>
      <c r="M60" s="908"/>
      <c r="N60" s="908"/>
      <c r="O60" s="908"/>
      <c r="P60" s="908"/>
      <c r="Q60" s="908"/>
      <c r="R60" s="908"/>
      <c r="S60" s="908"/>
      <c r="T60" s="908"/>
      <c r="U60" s="908"/>
      <c r="V60" s="908"/>
      <c r="W60" s="908"/>
      <c r="X60" s="908"/>
      <c r="Y60" s="908"/>
      <c r="Z60" s="908"/>
      <c r="AA60" s="908" t="s">
        <v>183</v>
      </c>
      <c r="AB60" s="910"/>
      <c r="AC60" s="908"/>
      <c r="AD60" s="908"/>
      <c r="AE60" s="908"/>
      <c r="AF60" s="4"/>
      <c r="AG60" s="82">
        <v>10</v>
      </c>
      <c r="AH60" s="1800">
        <f>IF('GENERAL INFO'!K10="X","",'GENERAL INFO'!K102)</f>
        <v>0</v>
      </c>
      <c r="AI60" s="1801"/>
      <c r="AJ60" s="1801"/>
      <c r="AK60" s="1801"/>
      <c r="AL60" s="1801"/>
      <c r="AM60" s="1801"/>
      <c r="AN60" s="1801"/>
      <c r="AO60" s="1801"/>
      <c r="AP60" s="1801"/>
      <c r="AQ60" s="1801"/>
      <c r="AR60" s="256"/>
      <c r="AS60" s="11"/>
    </row>
    <row r="61" spans="2:45" s="11" customFormat="1" ht="9" customHeight="1">
      <c r="B61" s="1789"/>
      <c r="C61" s="1790"/>
      <c r="D61" s="1791"/>
      <c r="E61" s="41"/>
      <c r="F61" s="908"/>
      <c r="G61" s="908"/>
      <c r="H61" s="908"/>
      <c r="I61" s="908"/>
      <c r="J61" s="908"/>
      <c r="K61" s="908"/>
      <c r="L61" s="908"/>
      <c r="M61" s="908"/>
      <c r="N61" s="908"/>
      <c r="O61" s="908"/>
      <c r="P61" s="908"/>
      <c r="Q61" s="908"/>
      <c r="R61" s="908"/>
      <c r="S61" s="908"/>
      <c r="T61" s="908"/>
      <c r="U61" s="908"/>
      <c r="V61" s="908"/>
      <c r="W61" s="908"/>
      <c r="X61" s="908"/>
      <c r="Y61" s="908"/>
      <c r="Z61" s="908"/>
      <c r="AA61" s="908"/>
      <c r="AB61" s="908"/>
      <c r="AC61" s="908"/>
      <c r="AD61" s="908"/>
      <c r="AE61" s="908"/>
      <c r="AF61" s="4"/>
      <c r="AG61" s="1799"/>
      <c r="AH61" s="1802"/>
      <c r="AI61" s="1803"/>
      <c r="AJ61" s="1803"/>
      <c r="AK61" s="1803"/>
      <c r="AL61" s="1803"/>
      <c r="AM61" s="1803"/>
      <c r="AN61" s="1803"/>
      <c r="AO61" s="1803"/>
      <c r="AP61" s="1803"/>
      <c r="AQ61" s="1803"/>
      <c r="AR61" s="263"/>
      <c r="AS61" s="11"/>
    </row>
    <row r="62" spans="2:45" s="11" customFormat="1" ht="3" customHeight="1">
      <c r="B62" s="1789"/>
      <c r="C62" s="1790"/>
      <c r="D62" s="1791"/>
      <c r="E62" s="41"/>
      <c r="F62" s="908"/>
      <c r="G62" s="908"/>
      <c r="H62" s="908"/>
      <c r="I62" s="908"/>
      <c r="J62" s="908"/>
      <c r="K62" s="908"/>
      <c r="L62" s="908"/>
      <c r="M62" s="908"/>
      <c r="N62" s="908"/>
      <c r="O62" s="908"/>
      <c r="P62" s="908"/>
      <c r="Q62" s="908"/>
      <c r="R62" s="908"/>
      <c r="S62" s="908"/>
      <c r="T62" s="908"/>
      <c r="U62" s="908"/>
      <c r="V62" s="908"/>
      <c r="W62" s="908"/>
      <c r="X62" s="908"/>
      <c r="Y62" s="908"/>
      <c r="Z62" s="908"/>
      <c r="AA62" s="908"/>
      <c r="AB62" s="908"/>
      <c r="AC62" s="908"/>
      <c r="AD62" s="908"/>
      <c r="AE62" s="908"/>
      <c r="AF62" s="4"/>
      <c r="AG62" s="63"/>
      <c r="AH62" s="287"/>
      <c r="AI62" s="287"/>
      <c r="AJ62" s="287"/>
      <c r="AK62" s="287"/>
      <c r="AL62" s="287"/>
      <c r="AM62" s="287"/>
      <c r="AN62" s="287"/>
      <c r="AO62" s="287"/>
      <c r="AP62" s="287"/>
      <c r="AQ62" s="287"/>
      <c r="AR62" s="235"/>
      <c r="AS62" s="11"/>
    </row>
    <row r="63" spans="2:45" s="11" customFormat="1" ht="15" customHeight="1">
      <c r="B63" s="1789"/>
      <c r="C63" s="1790"/>
      <c r="D63" s="1791"/>
      <c r="E63" s="41" t="s">
        <v>398</v>
      </c>
      <c r="F63" s="908" t="s">
        <v>668</v>
      </c>
      <c r="G63" s="908"/>
      <c r="H63" s="908"/>
      <c r="I63" s="908"/>
      <c r="J63" s="908"/>
      <c r="K63" s="908"/>
      <c r="L63" s="908" t="s">
        <v>1070</v>
      </c>
      <c r="M63" s="910"/>
      <c r="N63" s="908"/>
      <c r="O63" s="910"/>
      <c r="P63" s="908"/>
      <c r="Q63" s="908"/>
      <c r="R63" s="908"/>
      <c r="S63" s="908"/>
      <c r="T63" s="908"/>
      <c r="U63" s="908"/>
      <c r="V63" s="908"/>
      <c r="W63" s="908"/>
      <c r="X63" s="908"/>
      <c r="Y63" s="908"/>
      <c r="Z63" s="908"/>
      <c r="AA63" s="908"/>
      <c r="AB63" s="908"/>
      <c r="AC63" s="908"/>
      <c r="AD63" s="908"/>
      <c r="AE63" s="908"/>
      <c r="AF63" s="4"/>
      <c r="AG63" s="82">
        <v>11</v>
      </c>
      <c r="AH63" s="1800" t="e">
        <f>IF('GENERAL INFO'!K10="X","",AH57+AH60)</f>
        <v>#DIV/0!</v>
      </c>
      <c r="AI63" s="1801"/>
      <c r="AJ63" s="1801"/>
      <c r="AK63" s="1801"/>
      <c r="AL63" s="1801"/>
      <c r="AM63" s="1801"/>
      <c r="AN63" s="1801"/>
      <c r="AO63" s="1801"/>
      <c r="AP63" s="1801"/>
      <c r="AQ63" s="1801"/>
      <c r="AR63" s="256"/>
      <c r="AS63" s="11"/>
    </row>
    <row r="64" spans="2:45" s="11" customFormat="1" ht="9" customHeight="1">
      <c r="B64" s="1789"/>
      <c r="C64" s="1790"/>
      <c r="D64" s="1791"/>
      <c r="E64" s="41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1799"/>
      <c r="AH64" s="1802"/>
      <c r="AI64" s="1803"/>
      <c r="AJ64" s="1803"/>
      <c r="AK64" s="1803"/>
      <c r="AL64" s="1803"/>
      <c r="AM64" s="1803"/>
      <c r="AN64" s="1803"/>
      <c r="AO64" s="1803"/>
      <c r="AP64" s="1803"/>
      <c r="AQ64" s="1803"/>
      <c r="AR64" s="263"/>
      <c r="AS64" s="11"/>
    </row>
    <row r="65" spans="2:45" s="11" customFormat="1" ht="4" customHeight="1">
      <c r="B65" s="1792"/>
      <c r="C65" s="1793"/>
      <c r="D65" s="1794"/>
      <c r="E65" s="128"/>
      <c r="F65" s="128"/>
      <c r="G65" s="128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131"/>
      <c r="AH65" s="288"/>
      <c r="AI65" s="288"/>
      <c r="AJ65" s="288"/>
      <c r="AK65" s="288"/>
      <c r="AL65" s="288"/>
      <c r="AM65" s="288"/>
      <c r="AN65" s="288"/>
      <c r="AO65" s="288"/>
      <c r="AP65" s="288"/>
      <c r="AQ65" s="288"/>
      <c r="AR65" s="238"/>
      <c r="AS65" s="11"/>
    </row>
    <row r="66" spans="2:45" s="11" customFormat="1" ht="3" customHeight="1">
      <c r="B66" s="157"/>
      <c r="C66" s="41"/>
      <c r="D66" s="121"/>
      <c r="E66" s="17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34"/>
      <c r="AH66" s="287"/>
      <c r="AI66" s="287"/>
      <c r="AJ66" s="287"/>
      <c r="AK66" s="287"/>
      <c r="AL66" s="287"/>
      <c r="AM66" s="287"/>
      <c r="AN66" s="287"/>
      <c r="AO66" s="287"/>
      <c r="AP66" s="287"/>
      <c r="AQ66" s="287"/>
      <c r="AR66" s="235"/>
      <c r="AS66" s="11"/>
    </row>
    <row r="67" spans="2:45" s="11" customFormat="1" ht="7" customHeight="1">
      <c r="B67" s="1789" t="s">
        <v>669</v>
      </c>
      <c r="C67" s="1790"/>
      <c r="D67" s="1791"/>
      <c r="E67" s="49"/>
      <c r="F67" s="11"/>
      <c r="G67" s="50"/>
      <c r="H67" s="50"/>
      <c r="I67" s="50"/>
      <c r="J67" s="50"/>
      <c r="K67" s="50"/>
      <c r="L67" s="50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34"/>
      <c r="AH67" s="287"/>
      <c r="AI67" s="287"/>
      <c r="AJ67" s="287"/>
      <c r="AK67" s="287"/>
      <c r="AL67" s="287"/>
      <c r="AM67" s="287"/>
      <c r="AN67" s="287"/>
      <c r="AO67" s="287"/>
      <c r="AP67" s="287"/>
      <c r="AQ67" s="287"/>
      <c r="AR67" s="235"/>
      <c r="AS67" s="11"/>
    </row>
    <row r="68" spans="2:45" s="11" customFormat="1" ht="15" customHeight="1">
      <c r="B68" s="1789"/>
      <c r="C68" s="1790"/>
      <c r="D68" s="1791"/>
      <c r="E68" s="41" t="s">
        <v>399</v>
      </c>
      <c r="F68" s="1832" t="s">
        <v>670</v>
      </c>
      <c r="G68" s="1768"/>
      <c r="H68" s="1768"/>
      <c r="I68" s="1768"/>
      <c r="J68" s="1768"/>
      <c r="K68" s="1768"/>
      <c r="L68" s="1768"/>
      <c r="M68" s="1768"/>
      <c r="N68" s="1768"/>
      <c r="O68" s="1768"/>
      <c r="P68" s="1768"/>
      <c r="Q68" s="1768"/>
      <c r="R68" s="1768"/>
      <c r="S68" s="1768"/>
      <c r="T68" s="1768"/>
      <c r="U68" s="1768"/>
      <c r="V68" s="1768"/>
      <c r="W68" s="1768"/>
      <c r="X68" s="1768"/>
      <c r="Y68" s="1768"/>
      <c r="Z68" s="1768"/>
      <c r="AA68" s="1768"/>
      <c r="AB68" s="1768"/>
      <c r="AC68" s="1768"/>
      <c r="AD68" s="1768"/>
      <c r="AE68" s="1768"/>
      <c r="AF68" s="1768"/>
      <c r="AG68" s="82">
        <v>12</v>
      </c>
      <c r="AH68" s="1800">
        <f>IF('GENERAL INFO'!K10="X","",'1770 S-1 JP'!AG95)</f>
        <v>0</v>
      </c>
      <c r="AI68" s="1801"/>
      <c r="AJ68" s="1801"/>
      <c r="AK68" s="1801"/>
      <c r="AL68" s="1801"/>
      <c r="AM68" s="1801"/>
      <c r="AN68" s="1801"/>
      <c r="AO68" s="1801"/>
      <c r="AP68" s="1801"/>
      <c r="AQ68" s="1801"/>
      <c r="AR68" s="256"/>
      <c r="AS68" s="11"/>
    </row>
    <row r="69" spans="2:45" s="11" customFormat="1" ht="10" customHeight="1">
      <c r="B69" s="1789"/>
      <c r="C69" s="1790"/>
      <c r="D69" s="1791"/>
      <c r="E69" s="17"/>
      <c r="F69" s="908" t="s">
        <v>671</v>
      </c>
      <c r="G69" s="908"/>
      <c r="H69" s="908"/>
      <c r="I69" s="908"/>
      <c r="J69" s="908"/>
      <c r="K69" s="908"/>
      <c r="L69" s="908"/>
      <c r="M69" s="908"/>
      <c r="N69" s="908"/>
      <c r="O69" s="908"/>
      <c r="P69" s="908"/>
      <c r="Q69" s="908"/>
      <c r="R69" s="908"/>
      <c r="S69" s="908"/>
      <c r="T69" s="908"/>
      <c r="U69" s="908"/>
      <c r="V69" s="908"/>
      <c r="W69" s="908"/>
      <c r="X69" s="908"/>
      <c r="Y69" s="908"/>
      <c r="Z69" s="908"/>
      <c r="AA69" s="908"/>
      <c r="AB69" s="908"/>
      <c r="AC69" s="908"/>
      <c r="AD69" s="908"/>
      <c r="AE69" s="908"/>
      <c r="AF69" s="995"/>
      <c r="AG69" s="1799"/>
      <c r="AH69" s="1802"/>
      <c r="AI69" s="1803"/>
      <c r="AJ69" s="1803"/>
      <c r="AK69" s="1803"/>
      <c r="AL69" s="1803"/>
      <c r="AM69" s="1803"/>
      <c r="AN69" s="1803"/>
      <c r="AO69" s="1803"/>
      <c r="AP69" s="1803"/>
      <c r="AQ69" s="1803"/>
      <c r="AR69" s="263"/>
      <c r="AS69" s="11"/>
    </row>
    <row r="70" spans="2:45" s="11" customFormat="1" ht="3" customHeight="1">
      <c r="B70" s="1789"/>
      <c r="C70" s="1790"/>
      <c r="D70" s="1791"/>
      <c r="E70" s="17"/>
      <c r="F70" s="33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34"/>
      <c r="AH70" s="287"/>
      <c r="AI70" s="287"/>
      <c r="AJ70" s="287"/>
      <c r="AK70" s="287"/>
      <c r="AL70" s="287"/>
      <c r="AM70" s="287"/>
      <c r="AN70" s="287"/>
      <c r="AO70" s="287"/>
      <c r="AP70" s="287"/>
      <c r="AQ70" s="287"/>
      <c r="AR70" s="235"/>
      <c r="AS70" s="11"/>
    </row>
    <row r="71" spans="2:45" s="11" customFormat="1" ht="3.75" customHeight="1">
      <c r="B71" s="1789"/>
      <c r="C71" s="1790"/>
      <c r="D71" s="1791"/>
      <c r="E71" s="17"/>
      <c r="F71" s="33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34"/>
      <c r="AH71" s="287"/>
      <c r="AI71" s="287"/>
      <c r="AJ71" s="287"/>
      <c r="AK71" s="287"/>
      <c r="AL71" s="287"/>
      <c r="AM71" s="287"/>
      <c r="AN71" s="287"/>
      <c r="AO71" s="287"/>
      <c r="AP71" s="287"/>
      <c r="AQ71" s="287"/>
      <c r="AR71" s="235"/>
      <c r="AS71" s="11"/>
    </row>
    <row r="72" spans="2:45" s="11" customFormat="1" ht="12" customHeight="1">
      <c r="B72" s="1789"/>
      <c r="C72" s="1790"/>
      <c r="D72" s="1791"/>
      <c r="E72" s="41" t="s">
        <v>400</v>
      </c>
      <c r="F72" s="44" t="s">
        <v>6</v>
      </c>
      <c r="G72" s="240" t="e">
        <f>IF('GENERAL INFO'!K10="X","",IF(AH72&gt;0,"X",""))</f>
        <v>#DIV/0!</v>
      </c>
      <c r="H72" s="11"/>
      <c r="I72" s="996" t="s">
        <v>672</v>
      </c>
      <c r="J72" s="43"/>
      <c r="K72" s="43"/>
      <c r="L72" s="43"/>
      <c r="M72" s="43"/>
      <c r="N72" s="43"/>
      <c r="O72" s="43"/>
      <c r="P72" s="43"/>
      <c r="Q72" s="43"/>
      <c r="R72" s="43"/>
      <c r="S72" s="34" t="s">
        <v>63</v>
      </c>
      <c r="T72" s="34"/>
      <c r="U72" s="11"/>
      <c r="V72" s="11"/>
      <c r="W72" s="11"/>
      <c r="X72" s="4"/>
      <c r="Y72" s="4"/>
      <c r="Z72" s="4"/>
      <c r="AA72" s="4"/>
      <c r="AB72" s="4"/>
      <c r="AC72" s="4"/>
      <c r="AD72" s="4"/>
      <c r="AE72" s="4"/>
      <c r="AF72" s="4"/>
      <c r="AG72" s="82">
        <v>13</v>
      </c>
      <c r="AH72" s="1800" t="e">
        <f>IF('GENERAL INFO'!K10="X","", AH63-AH68)</f>
        <v>#DIV/0!</v>
      </c>
      <c r="AI72" s="1801"/>
      <c r="AJ72" s="1801"/>
      <c r="AK72" s="1801"/>
      <c r="AL72" s="1801"/>
      <c r="AM72" s="1801"/>
      <c r="AN72" s="1801"/>
      <c r="AO72" s="1801"/>
      <c r="AP72" s="1801"/>
      <c r="AQ72" s="1801"/>
      <c r="AR72" s="256"/>
      <c r="AS72" s="11"/>
    </row>
    <row r="73" spans="2:45" s="11" customFormat="1" ht="3" customHeight="1">
      <c r="B73" s="1789"/>
      <c r="C73" s="1790"/>
      <c r="D73" s="1791"/>
      <c r="E73" s="41"/>
      <c r="F73" s="4"/>
      <c r="G73" s="34"/>
      <c r="H73" s="11"/>
      <c r="I73" s="44"/>
      <c r="J73" s="4"/>
      <c r="K73" s="45"/>
      <c r="L73" s="45"/>
      <c r="M73" s="45"/>
      <c r="N73" s="45"/>
      <c r="O73" s="45"/>
      <c r="P73" s="45"/>
      <c r="Q73" s="45"/>
      <c r="R73" s="45"/>
      <c r="S73" s="34"/>
      <c r="T73" s="34"/>
      <c r="U73" s="11" t="s">
        <v>159</v>
      </c>
      <c r="V73" s="11"/>
      <c r="W73" s="11"/>
      <c r="X73" s="44"/>
      <c r="Y73" s="4"/>
      <c r="Z73" s="4"/>
      <c r="AA73" s="4"/>
      <c r="AB73" s="4"/>
      <c r="AC73" s="4"/>
      <c r="AD73" s="4"/>
      <c r="AE73" s="4"/>
      <c r="AF73" s="4"/>
      <c r="AG73" s="1814"/>
      <c r="AH73" s="1815"/>
      <c r="AI73" s="1816"/>
      <c r="AJ73" s="1816"/>
      <c r="AK73" s="1816"/>
      <c r="AL73" s="1816"/>
      <c r="AM73" s="1816"/>
      <c r="AN73" s="1816"/>
      <c r="AO73" s="1816"/>
      <c r="AP73" s="1816"/>
      <c r="AQ73" s="1816"/>
      <c r="AR73" s="243"/>
      <c r="AS73" s="11"/>
    </row>
    <row r="74" spans="2:45" s="11" customFormat="1" ht="12" customHeight="1">
      <c r="B74" s="1789"/>
      <c r="C74" s="1790"/>
      <c r="D74" s="1791"/>
      <c r="E74" s="41"/>
      <c r="F74" s="44" t="s">
        <v>7</v>
      </c>
      <c r="G74" s="240" t="e">
        <f>IF('GENERAL INFO'!K10="X","",IF(AH72&lt;0,"X",""))</f>
        <v>#DIV/0!</v>
      </c>
      <c r="H74" s="11"/>
      <c r="I74" s="997" t="s">
        <v>673</v>
      </c>
      <c r="J74" s="4"/>
      <c r="K74" s="24"/>
      <c r="L74" s="24"/>
      <c r="M74" s="24"/>
      <c r="N74" s="24"/>
      <c r="O74" s="24"/>
      <c r="P74" s="24"/>
      <c r="Q74" s="24"/>
      <c r="R74" s="24"/>
      <c r="S74" s="34"/>
      <c r="T74" s="34"/>
      <c r="U74" s="11"/>
      <c r="V74" s="11"/>
      <c r="W74" s="11"/>
      <c r="X74" s="44"/>
      <c r="Y74" s="4"/>
      <c r="Z74" s="4"/>
      <c r="AA74" s="4"/>
      <c r="AB74" s="4"/>
      <c r="AC74" s="4"/>
      <c r="AD74" s="4"/>
      <c r="AE74" s="4"/>
      <c r="AF74" s="4"/>
      <c r="AG74" s="1799"/>
      <c r="AH74" s="1802"/>
      <c r="AI74" s="1803"/>
      <c r="AJ74" s="1803"/>
      <c r="AK74" s="1803"/>
      <c r="AL74" s="1803"/>
      <c r="AM74" s="1803"/>
      <c r="AN74" s="1803"/>
      <c r="AO74" s="1803"/>
      <c r="AP74" s="1803"/>
      <c r="AQ74" s="1803"/>
      <c r="AR74" s="263"/>
      <c r="AS74" s="11"/>
    </row>
    <row r="75" spans="2:45" s="11" customFormat="1" ht="9" customHeight="1">
      <c r="B75" s="1789"/>
      <c r="C75" s="1790"/>
      <c r="D75" s="1791"/>
      <c r="E75" s="4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44"/>
      <c r="S75" s="44"/>
      <c r="T75" s="44"/>
      <c r="U75" s="11"/>
      <c r="V75" s="11"/>
      <c r="W75" s="11"/>
      <c r="X75" s="44"/>
      <c r="Y75" s="4"/>
      <c r="Z75" s="4"/>
      <c r="AA75" s="4"/>
      <c r="AB75" s="4"/>
      <c r="AC75" s="4"/>
      <c r="AD75" s="4"/>
      <c r="AE75" s="4"/>
      <c r="AF75" s="4"/>
      <c r="AG75" s="58"/>
      <c r="AH75" s="287"/>
      <c r="AI75" s="287"/>
      <c r="AJ75" s="287"/>
      <c r="AK75" s="287"/>
      <c r="AL75" s="287"/>
      <c r="AM75" s="287"/>
      <c r="AN75" s="287"/>
      <c r="AO75" s="287"/>
      <c r="AP75" s="287"/>
      <c r="AQ75" s="287"/>
      <c r="AR75" s="235"/>
      <c r="AS75" s="11"/>
    </row>
    <row r="76" spans="2:45" s="11" customFormat="1" ht="3" customHeight="1">
      <c r="B76" s="1789"/>
      <c r="C76" s="1790"/>
      <c r="D76" s="1791"/>
      <c r="E76" s="41"/>
      <c r="F76" s="44"/>
      <c r="G76" s="4"/>
      <c r="H76" s="4"/>
      <c r="I76" s="24"/>
      <c r="J76" s="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34"/>
      <c r="V76" s="34"/>
      <c r="W76" s="34"/>
      <c r="X76" s="44"/>
      <c r="Y76" s="4"/>
      <c r="Z76" s="4"/>
      <c r="AA76" s="4"/>
      <c r="AB76" s="4"/>
      <c r="AC76" s="4"/>
      <c r="AD76" s="4"/>
      <c r="AE76" s="4"/>
      <c r="AF76" s="4"/>
      <c r="AG76" s="7"/>
      <c r="AH76" s="287"/>
      <c r="AI76" s="287"/>
      <c r="AJ76" s="287"/>
      <c r="AK76" s="287"/>
      <c r="AL76" s="287"/>
      <c r="AM76" s="287"/>
      <c r="AN76" s="287"/>
      <c r="AO76" s="287"/>
      <c r="AP76" s="287"/>
      <c r="AQ76" s="287"/>
      <c r="AR76" s="235"/>
      <c r="AS76" s="11"/>
    </row>
    <row r="77" spans="2:45" s="11" customFormat="1" ht="15" customHeight="1">
      <c r="B77" s="1789"/>
      <c r="C77" s="1790"/>
      <c r="D77" s="1791"/>
      <c r="E77" s="41" t="s">
        <v>401</v>
      </c>
      <c r="F77" s="1832" t="s">
        <v>674</v>
      </c>
      <c r="G77" s="1768"/>
      <c r="H77" s="1768"/>
      <c r="I77" s="1768"/>
      <c r="J77" s="1768"/>
      <c r="K77" s="1768"/>
      <c r="L77" s="1768"/>
      <c r="M77" s="1768"/>
      <c r="N77" s="4" t="s">
        <v>6</v>
      </c>
      <c r="O77" s="908" t="s">
        <v>675</v>
      </c>
      <c r="P77" s="908"/>
      <c r="Q77" s="908"/>
      <c r="R77" s="908"/>
      <c r="S77" s="908"/>
      <c r="T77" s="908"/>
      <c r="U77" s="908"/>
      <c r="V77" s="908"/>
      <c r="W77" s="908"/>
      <c r="X77" s="1767" t="s">
        <v>79</v>
      </c>
      <c r="Y77" s="1767"/>
      <c r="Z77" s="1767"/>
      <c r="AA77" s="1767"/>
      <c r="AB77" s="1767"/>
      <c r="AC77" s="1767"/>
      <c r="AD77" s="1767"/>
      <c r="AE77" s="1767"/>
      <c r="AF77" s="4"/>
      <c r="AG77" s="82" t="s">
        <v>53</v>
      </c>
      <c r="AH77" s="1800">
        <f>IF('GENERAL INFO'!K10="X","",'GENERAL INFO'!H99)</f>
        <v>0</v>
      </c>
      <c r="AI77" s="1801"/>
      <c r="AJ77" s="1801"/>
      <c r="AK77" s="1801"/>
      <c r="AL77" s="1801"/>
      <c r="AM77" s="1801"/>
      <c r="AN77" s="1801"/>
      <c r="AO77" s="1801"/>
      <c r="AP77" s="1801"/>
      <c r="AQ77" s="1801"/>
      <c r="AR77" s="256"/>
      <c r="AS77" s="11"/>
    </row>
    <row r="78" spans="2:45" s="11" customFormat="1" ht="9" customHeight="1">
      <c r="B78" s="1789"/>
      <c r="C78" s="1790"/>
      <c r="D78" s="1791"/>
      <c r="E78" s="41"/>
      <c r="F78" s="4"/>
      <c r="G78" s="4"/>
      <c r="H78" s="4"/>
      <c r="I78" s="4"/>
      <c r="J78" s="4"/>
      <c r="K78" s="4"/>
      <c r="L78" s="4"/>
      <c r="M78" s="11"/>
      <c r="N78" s="4"/>
      <c r="O78" s="908"/>
      <c r="P78" s="908"/>
      <c r="Q78" s="908"/>
      <c r="R78" s="908"/>
      <c r="S78" s="908"/>
      <c r="T78" s="908"/>
      <c r="U78" s="908"/>
      <c r="V78" s="908"/>
      <c r="W78" s="908"/>
      <c r="X78" s="908"/>
      <c r="Y78" s="908"/>
      <c r="Z78" s="908"/>
      <c r="AA78" s="908"/>
      <c r="AB78" s="908"/>
      <c r="AC78" s="908"/>
      <c r="AD78" s="908"/>
      <c r="AE78" s="908"/>
      <c r="AF78" s="4"/>
      <c r="AG78" s="1799"/>
      <c r="AH78" s="1802"/>
      <c r="AI78" s="1803"/>
      <c r="AJ78" s="1803"/>
      <c r="AK78" s="1803"/>
      <c r="AL78" s="1803"/>
      <c r="AM78" s="1803"/>
      <c r="AN78" s="1803"/>
      <c r="AO78" s="1803"/>
      <c r="AP78" s="1803"/>
      <c r="AQ78" s="1803"/>
      <c r="AR78" s="263"/>
      <c r="AS78" s="11"/>
    </row>
    <row r="79" spans="2:45" s="11" customFormat="1" ht="3" customHeight="1">
      <c r="B79" s="1789"/>
      <c r="C79" s="1790"/>
      <c r="D79" s="1791"/>
      <c r="E79" s="41"/>
      <c r="F79" s="4"/>
      <c r="G79" s="4"/>
      <c r="H79" s="4"/>
      <c r="I79" s="4"/>
      <c r="J79" s="4"/>
      <c r="K79" s="4"/>
      <c r="L79" s="4"/>
      <c r="M79" s="11"/>
      <c r="N79" s="4"/>
      <c r="O79" s="908"/>
      <c r="P79" s="908"/>
      <c r="Q79" s="908"/>
      <c r="R79" s="908"/>
      <c r="S79" s="908"/>
      <c r="T79" s="908"/>
      <c r="U79" s="908"/>
      <c r="V79" s="908"/>
      <c r="W79" s="908"/>
      <c r="X79" s="908"/>
      <c r="Y79" s="908"/>
      <c r="Z79" s="908"/>
      <c r="AA79" s="908"/>
      <c r="AB79" s="908"/>
      <c r="AC79" s="908"/>
      <c r="AD79" s="908"/>
      <c r="AE79" s="908"/>
      <c r="AF79" s="4"/>
      <c r="AG79" s="7"/>
      <c r="AH79" s="287"/>
      <c r="AI79" s="287"/>
      <c r="AJ79" s="287"/>
      <c r="AK79" s="287"/>
      <c r="AL79" s="287"/>
      <c r="AM79" s="287"/>
      <c r="AN79" s="287"/>
      <c r="AO79" s="287"/>
      <c r="AP79" s="287"/>
      <c r="AQ79" s="287"/>
      <c r="AR79" s="235"/>
      <c r="AS79" s="11"/>
    </row>
    <row r="80" spans="2:45" s="11" customFormat="1" ht="15" customHeight="1">
      <c r="B80" s="1789"/>
      <c r="C80" s="1790"/>
      <c r="D80" s="1791"/>
      <c r="E80" s="41"/>
      <c r="F80" s="4"/>
      <c r="G80" s="4"/>
      <c r="H80" s="4"/>
      <c r="I80" s="4"/>
      <c r="J80" s="4"/>
      <c r="K80" s="4"/>
      <c r="L80" s="4"/>
      <c r="M80" s="11"/>
      <c r="N80" s="4" t="s">
        <v>7</v>
      </c>
      <c r="O80" s="908" t="s">
        <v>676</v>
      </c>
      <c r="P80" s="908"/>
      <c r="Q80" s="908"/>
      <c r="R80" s="908"/>
      <c r="S80" s="908"/>
      <c r="T80" s="908"/>
      <c r="U80" s="908"/>
      <c r="V80" s="908"/>
      <c r="W80" s="908"/>
      <c r="X80" s="908"/>
      <c r="Y80" s="1767" t="s">
        <v>117</v>
      </c>
      <c r="Z80" s="1767"/>
      <c r="AA80" s="1767"/>
      <c r="AB80" s="1767"/>
      <c r="AC80" s="1767"/>
      <c r="AD80" s="1767"/>
      <c r="AE80" s="1767"/>
      <c r="AF80" s="4"/>
      <c r="AG80" s="82" t="s">
        <v>54</v>
      </c>
      <c r="AH80" s="1800">
        <f>IF('GENERAL INFO'!K10="X","",PPh25exSTP)</f>
        <v>0</v>
      </c>
      <c r="AI80" s="1801"/>
      <c r="AJ80" s="1801"/>
      <c r="AK80" s="1801"/>
      <c r="AL80" s="1801"/>
      <c r="AM80" s="1801"/>
      <c r="AN80" s="1801"/>
      <c r="AO80" s="1801"/>
      <c r="AP80" s="1801"/>
      <c r="AQ80" s="1801"/>
      <c r="AR80" s="256"/>
      <c r="AS80" s="11"/>
    </row>
    <row r="81" spans="2:45" s="11" customFormat="1" ht="9" customHeight="1">
      <c r="B81" s="1789"/>
      <c r="C81" s="1790"/>
      <c r="D81" s="1791"/>
      <c r="E81" s="41"/>
      <c r="F81" s="4"/>
      <c r="G81" s="4"/>
      <c r="H81" s="4"/>
      <c r="I81" s="4"/>
      <c r="J81" s="4"/>
      <c r="K81" s="4"/>
      <c r="L81" s="4"/>
      <c r="M81" s="11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1799"/>
      <c r="AH81" s="1802"/>
      <c r="AI81" s="1803"/>
      <c r="AJ81" s="1803"/>
      <c r="AK81" s="1803"/>
      <c r="AL81" s="1803"/>
      <c r="AM81" s="1803"/>
      <c r="AN81" s="1803"/>
      <c r="AO81" s="1803"/>
      <c r="AP81" s="1803"/>
      <c r="AQ81" s="1803"/>
      <c r="AR81" s="263"/>
      <c r="AS81" s="11"/>
    </row>
    <row r="82" spans="2:45" s="11" customFormat="1" ht="3" customHeight="1">
      <c r="B82" s="1789"/>
      <c r="C82" s="1790"/>
      <c r="D82" s="1791"/>
      <c r="E82" s="41"/>
      <c r="F82" s="4"/>
      <c r="G82" s="4"/>
      <c r="H82" s="4"/>
      <c r="I82" s="4"/>
      <c r="J82" s="4"/>
      <c r="K82" s="4"/>
      <c r="L82" s="4"/>
      <c r="M82" s="11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7"/>
      <c r="AH82" s="287"/>
      <c r="AI82" s="287"/>
      <c r="AJ82" s="287"/>
      <c r="AK82" s="287"/>
      <c r="AL82" s="287"/>
      <c r="AM82" s="287"/>
      <c r="AN82" s="287"/>
      <c r="AO82" s="287"/>
      <c r="AP82" s="287"/>
      <c r="AQ82" s="287"/>
      <c r="AR82" s="235"/>
      <c r="AS82" s="11"/>
    </row>
    <row r="83" spans="2:45" s="11" customFormat="1" ht="15" customHeight="1">
      <c r="B83" s="1789"/>
      <c r="C83" s="1790"/>
      <c r="D83" s="1791"/>
      <c r="E83" s="41" t="s">
        <v>402</v>
      </c>
      <c r="F83" s="908" t="s">
        <v>677</v>
      </c>
      <c r="G83" s="908"/>
      <c r="H83" s="908"/>
      <c r="I83" s="908"/>
      <c r="J83" s="908"/>
      <c r="K83" s="908"/>
      <c r="L83" s="908"/>
      <c r="M83" s="908"/>
      <c r="N83" s="908"/>
      <c r="O83" s="908"/>
      <c r="P83" s="910" t="s">
        <v>1071</v>
      </c>
      <c r="Q83" s="910"/>
      <c r="R83" s="910"/>
      <c r="S83" s="948"/>
      <c r="T83" s="948"/>
      <c r="U83" s="948"/>
      <c r="V83" s="948"/>
      <c r="W83" s="948"/>
      <c r="X83" s="948"/>
      <c r="Y83" s="948"/>
      <c r="Z83" s="948"/>
      <c r="AA83" s="948"/>
      <c r="AB83" s="948"/>
      <c r="AC83" s="948"/>
      <c r="AD83" s="948"/>
      <c r="AE83" s="948"/>
      <c r="AF83" s="300"/>
      <c r="AG83" s="82">
        <v>15</v>
      </c>
      <c r="AH83" s="1800">
        <f>IF('GENERAL INFO'!K10="X","",SUM(AH77:AR82))</f>
        <v>0</v>
      </c>
      <c r="AI83" s="1801"/>
      <c r="AJ83" s="1801"/>
      <c r="AK83" s="1801"/>
      <c r="AL83" s="1801"/>
      <c r="AM83" s="1801"/>
      <c r="AN83" s="1801"/>
      <c r="AO83" s="1801"/>
      <c r="AP83" s="1801"/>
      <c r="AQ83" s="1801"/>
      <c r="AR83" s="256"/>
      <c r="AS83" s="11"/>
    </row>
    <row r="84" spans="2:45" s="11" customFormat="1" ht="9" customHeight="1">
      <c r="B84" s="1789"/>
      <c r="C84" s="1790"/>
      <c r="D84" s="1791"/>
      <c r="E84" s="41"/>
      <c r="F84" s="4"/>
      <c r="G84" s="4"/>
      <c r="H84" s="4"/>
      <c r="I84" s="4"/>
      <c r="J84" s="4"/>
      <c r="K84" s="4"/>
      <c r="L84" s="4"/>
      <c r="M84" s="11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1799"/>
      <c r="AH84" s="1802"/>
      <c r="AI84" s="1803"/>
      <c r="AJ84" s="1803"/>
      <c r="AK84" s="1803"/>
      <c r="AL84" s="1803"/>
      <c r="AM84" s="1803"/>
      <c r="AN84" s="1803"/>
      <c r="AO84" s="1803"/>
      <c r="AP84" s="1803"/>
      <c r="AQ84" s="1803"/>
      <c r="AR84" s="263"/>
      <c r="AS84" s="11"/>
    </row>
    <row r="85" spans="2:45" s="11" customFormat="1" ht="4" customHeight="1">
      <c r="B85" s="1792"/>
      <c r="C85" s="1793"/>
      <c r="D85" s="1794"/>
      <c r="E85" s="130"/>
      <c r="F85" s="128"/>
      <c r="G85" s="128"/>
      <c r="H85" s="128"/>
      <c r="I85" s="128"/>
      <c r="J85" s="128"/>
      <c r="K85" s="128"/>
      <c r="L85" s="128"/>
      <c r="M85" s="128"/>
      <c r="N85" s="128"/>
      <c r="O85" s="128"/>
      <c r="P85" s="128"/>
      <c r="Q85" s="128"/>
      <c r="R85" s="128"/>
      <c r="S85" s="128"/>
      <c r="T85" s="128"/>
      <c r="U85" s="128"/>
      <c r="V85" s="128"/>
      <c r="W85" s="128"/>
      <c r="X85" s="128"/>
      <c r="Y85" s="128"/>
      <c r="Z85" s="128"/>
      <c r="AA85" s="128"/>
      <c r="AB85" s="128"/>
      <c r="AC85" s="128"/>
      <c r="AD85" s="128"/>
      <c r="AE85" s="128"/>
      <c r="AF85" s="128"/>
      <c r="AG85" s="108"/>
      <c r="AH85" s="288"/>
      <c r="AI85" s="288"/>
      <c r="AJ85" s="288"/>
      <c r="AK85" s="288"/>
      <c r="AL85" s="288"/>
      <c r="AM85" s="288"/>
      <c r="AN85" s="288"/>
      <c r="AO85" s="288"/>
      <c r="AP85" s="288"/>
      <c r="AQ85" s="288"/>
      <c r="AR85" s="238"/>
      <c r="AS85" s="11"/>
    </row>
    <row r="86" spans="2:44" s="11" customFormat="1" ht="3" customHeight="1">
      <c r="B86" s="1817" t="s">
        <v>678</v>
      </c>
      <c r="C86" s="1818"/>
      <c r="D86" s="1819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  <c r="AA86" s="133"/>
      <c r="AB86" s="133"/>
      <c r="AC86" s="133"/>
      <c r="AD86" s="133"/>
      <c r="AE86" s="133"/>
      <c r="AF86" s="133"/>
      <c r="AG86" s="133"/>
      <c r="AH86" s="289"/>
      <c r="AI86" s="289"/>
      <c r="AJ86" s="289"/>
      <c r="AK86" s="289"/>
      <c r="AL86" s="289"/>
      <c r="AM86" s="289"/>
      <c r="AN86" s="289"/>
      <c r="AO86" s="289"/>
      <c r="AP86" s="289"/>
      <c r="AQ86" s="289"/>
      <c r="AR86" s="239"/>
    </row>
    <row r="87" spans="2:45" s="11" customFormat="1" ht="4" customHeight="1">
      <c r="B87" s="1820"/>
      <c r="C87" s="1821"/>
      <c r="D87" s="1822"/>
      <c r="E87" s="49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6"/>
      <c r="R87" s="11"/>
      <c r="S87" s="11"/>
      <c r="T87" s="11"/>
      <c r="U87" s="11"/>
      <c r="V87" s="11"/>
      <c r="W87" s="11"/>
      <c r="X87" s="46" t="s">
        <v>679</v>
      </c>
      <c r="Y87" s="46"/>
      <c r="Z87" s="46"/>
      <c r="AA87" s="46"/>
      <c r="AB87" s="46"/>
      <c r="AC87" s="46"/>
      <c r="AD87" s="46"/>
      <c r="AE87" s="46"/>
      <c r="AF87" s="11"/>
      <c r="AG87" s="7"/>
      <c r="AH87" s="287"/>
      <c r="AI87" s="287"/>
      <c r="AJ87" s="287"/>
      <c r="AK87" s="287"/>
      <c r="AL87" s="287"/>
      <c r="AM87" s="287"/>
      <c r="AN87" s="287"/>
      <c r="AO87" s="287"/>
      <c r="AP87" s="287"/>
      <c r="AQ87" s="287"/>
      <c r="AR87" s="235"/>
      <c r="AS87" s="11"/>
    </row>
    <row r="88" spans="2:45" s="11" customFormat="1" ht="3" customHeight="1">
      <c r="B88" s="1820"/>
      <c r="C88" s="1821"/>
      <c r="D88" s="1822"/>
      <c r="E88" s="204"/>
      <c r="F88" s="54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1"/>
      <c r="S88" s="11"/>
      <c r="T88" s="11"/>
      <c r="U88" s="11"/>
      <c r="V88" s="11"/>
      <c r="W88" s="11"/>
      <c r="X88" s="46"/>
      <c r="Y88" s="46"/>
      <c r="Z88" s="46"/>
      <c r="AA88" s="46"/>
      <c r="AB88" s="46"/>
      <c r="AC88" s="46"/>
      <c r="AD88" s="46"/>
      <c r="AE88" s="46"/>
      <c r="AF88" s="11"/>
      <c r="AG88" s="7"/>
      <c r="AH88" s="287"/>
      <c r="AI88" s="287"/>
      <c r="AJ88" s="287"/>
      <c r="AK88" s="287"/>
      <c r="AL88" s="287"/>
      <c r="AM88" s="287"/>
      <c r="AN88" s="287"/>
      <c r="AO88" s="287"/>
      <c r="AP88" s="287"/>
      <c r="AQ88" s="287"/>
      <c r="AR88" s="235"/>
      <c r="AS88" s="11"/>
    </row>
    <row r="89" spans="2:45" s="11" customFormat="1" ht="7" customHeight="1">
      <c r="B89" s="1820"/>
      <c r="C89" s="1821"/>
      <c r="D89" s="1822"/>
      <c r="E89" s="204"/>
      <c r="F89" s="54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1"/>
      <c r="S89" s="11"/>
      <c r="T89" s="11"/>
      <c r="U89" s="11"/>
      <c r="V89" s="11"/>
      <c r="W89" s="11"/>
      <c r="X89" s="46"/>
      <c r="Y89" s="46"/>
      <c r="Z89" s="46"/>
      <c r="AA89" s="46"/>
      <c r="AB89" s="46"/>
      <c r="AC89" s="46"/>
      <c r="AD89" s="46"/>
      <c r="AE89" s="46"/>
      <c r="AF89" s="11"/>
      <c r="AG89" s="7"/>
      <c r="AH89" s="287"/>
      <c r="AI89" s="287"/>
      <c r="AJ89" s="287"/>
      <c r="AK89" s="287"/>
      <c r="AL89" s="287"/>
      <c r="AM89" s="287"/>
      <c r="AN89" s="287"/>
      <c r="AO89" s="287"/>
      <c r="AP89" s="287"/>
      <c r="AQ89" s="287"/>
      <c r="AR89" s="235"/>
      <c r="AS89" s="11"/>
    </row>
    <row r="90" spans="2:45" s="11" customFormat="1" ht="15" customHeight="1">
      <c r="B90" s="1820"/>
      <c r="C90" s="1821"/>
      <c r="D90" s="1822"/>
      <c r="E90" s="41" t="s">
        <v>403</v>
      </c>
      <c r="F90" s="240" t="e">
        <f>IF('GENERAL INFO'!K10="X","",IF(AH90="NIL  ","",IF(AH90&gt;0,"X","")))</f>
        <v>#DIV/0!</v>
      </c>
      <c r="G90" s="11"/>
      <c r="H90" s="909" t="s">
        <v>680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11"/>
      <c r="U90" s="34" t="s">
        <v>114</v>
      </c>
      <c r="V90" s="34"/>
      <c r="W90" s="4"/>
      <c r="X90" s="1330" t="str">
        <f>'GENERAL INFO'!F36</f>
        <v> </v>
      </c>
      <c r="Y90" s="1330" t="str">
        <f>'GENERAL INFO'!G36</f>
        <v> </v>
      </c>
      <c r="Z90" s="50"/>
      <c r="AA90" s="1330" t="str">
        <f>'GENERAL INFO'!H36</f>
        <v> </v>
      </c>
      <c r="AB90" s="1330" t="str">
        <f>'GENERAL INFO'!I36</f>
        <v> </v>
      </c>
      <c r="AC90" s="76"/>
      <c r="AD90" s="1330" t="str">
        <f>'GENERAL INFO'!J36</f>
        <v> </v>
      </c>
      <c r="AE90" s="1330" t="str">
        <f>'GENERAL INFO'!K36</f>
        <v> </v>
      </c>
      <c r="AF90" s="4"/>
      <c r="AG90" s="82">
        <v>16</v>
      </c>
      <c r="AH90" s="1826" t="e">
        <f>IF('GENERAL INFO'!K10="X","",IF((AH72-AH83=0),"NIL",AH72-AH83))</f>
        <v>#DIV/0!</v>
      </c>
      <c r="AI90" s="1827"/>
      <c r="AJ90" s="1827"/>
      <c r="AK90" s="1827"/>
      <c r="AL90" s="1827"/>
      <c r="AM90" s="1827"/>
      <c r="AN90" s="1827"/>
      <c r="AO90" s="1827"/>
      <c r="AP90" s="1827"/>
      <c r="AQ90" s="1827"/>
      <c r="AR90" s="256"/>
      <c r="AS90" s="11"/>
    </row>
    <row r="91" spans="2:44" s="11" customFormat="1" ht="3" customHeight="1">
      <c r="B91" s="1820"/>
      <c r="C91" s="1821"/>
      <c r="D91" s="1822"/>
      <c r="E91" s="41"/>
      <c r="F91" s="304"/>
      <c r="H91" s="108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U91" s="34"/>
      <c r="V91" s="34"/>
      <c r="W91" s="4"/>
      <c r="X91" s="7" t="s">
        <v>626</v>
      </c>
      <c r="Y91" s="7"/>
      <c r="Z91" s="44"/>
      <c r="AA91" s="7" t="s">
        <v>627</v>
      </c>
      <c r="AB91" s="7"/>
      <c r="AC91" s="44"/>
      <c r="AD91" s="7" t="s">
        <v>628</v>
      </c>
      <c r="AE91" s="7"/>
      <c r="AF91" s="4"/>
      <c r="AG91" s="1814"/>
      <c r="AH91" s="1828"/>
      <c r="AI91" s="1829"/>
      <c r="AJ91" s="1829"/>
      <c r="AK91" s="1829"/>
      <c r="AL91" s="1829"/>
      <c r="AM91" s="1829"/>
      <c r="AN91" s="1829"/>
      <c r="AO91" s="1829"/>
      <c r="AP91" s="1829"/>
      <c r="AQ91" s="1829"/>
      <c r="AR91" s="243"/>
    </row>
    <row r="92" spans="2:45" s="11" customFormat="1" ht="15" customHeight="1">
      <c r="B92" s="1820"/>
      <c r="C92" s="1821"/>
      <c r="D92" s="1822"/>
      <c r="E92" s="41"/>
      <c r="F92" s="240" t="e">
        <f>IF('GENERAL INFO'!K10="X","",IF(AH90="NIL  ","",IF(AH90&lt;0,"X","")))</f>
        <v>#DIV/0!</v>
      </c>
      <c r="G92" s="11"/>
      <c r="H92" s="909" t="s">
        <v>1197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11"/>
      <c r="U92" s="34"/>
      <c r="V92" s="34"/>
      <c r="W92" s="4"/>
      <c r="X92" s="7"/>
      <c r="Y92" s="7"/>
      <c r="Z92" s="44"/>
      <c r="AA92" s="7"/>
      <c r="AB92" s="7"/>
      <c r="AC92" s="44"/>
      <c r="AD92" s="7"/>
      <c r="AE92" s="7"/>
      <c r="AF92" s="4"/>
      <c r="AG92" s="1799"/>
      <c r="AH92" s="1830"/>
      <c r="AI92" s="1831"/>
      <c r="AJ92" s="1831"/>
      <c r="AK92" s="1831"/>
      <c r="AL92" s="1831"/>
      <c r="AM92" s="1831"/>
      <c r="AN92" s="1831"/>
      <c r="AO92" s="1831"/>
      <c r="AP92" s="1831"/>
      <c r="AQ92" s="1831"/>
      <c r="AR92" s="263"/>
      <c r="AS92" s="11"/>
    </row>
    <row r="93" spans="2:45" s="11" customFormat="1" ht="10" customHeight="1">
      <c r="B93" s="1820"/>
      <c r="C93" s="1821"/>
      <c r="D93" s="1822"/>
      <c r="E93" s="41"/>
      <c r="F93" s="4"/>
      <c r="G93" s="2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34"/>
      <c r="T93" s="34"/>
      <c r="U93" s="44"/>
      <c r="V93" s="4"/>
      <c r="W93" s="4"/>
      <c r="X93" s="56"/>
      <c r="Y93" s="56"/>
      <c r="Z93" s="4"/>
      <c r="AA93" s="56"/>
      <c r="AB93" s="56"/>
      <c r="AC93" s="4"/>
      <c r="AD93" s="56"/>
      <c r="AE93" s="56"/>
      <c r="AF93" s="4"/>
      <c r="AG93" s="34"/>
      <c r="AH93" s="75"/>
      <c r="AI93" s="75"/>
      <c r="AJ93" s="75"/>
      <c r="AK93" s="75"/>
      <c r="AL93" s="75"/>
      <c r="AM93" s="75"/>
      <c r="AN93" s="75"/>
      <c r="AO93" s="75"/>
      <c r="AP93" s="75"/>
      <c r="AQ93" s="75"/>
      <c r="AR93" s="235"/>
      <c r="AS93" s="11"/>
    </row>
    <row r="94" spans="2:45" s="11" customFormat="1" ht="11.5" customHeight="1">
      <c r="B94" s="1820"/>
      <c r="C94" s="1821"/>
      <c r="D94" s="1822"/>
      <c r="E94" s="41" t="s">
        <v>404</v>
      </c>
      <c r="F94" s="908" t="s">
        <v>681</v>
      </c>
      <c r="G94" s="4"/>
      <c r="H94" s="4"/>
      <c r="I94" s="4"/>
      <c r="J94" s="4"/>
      <c r="K94" s="4"/>
      <c r="L94" s="4"/>
      <c r="M94" s="4"/>
      <c r="N94" s="4"/>
      <c r="O94" s="4"/>
      <c r="P94" s="57"/>
      <c r="Q94" s="4"/>
      <c r="R94" s="4"/>
      <c r="S94" s="34"/>
      <c r="T94" s="34"/>
      <c r="U94" s="44"/>
      <c r="V94" s="4"/>
      <c r="W94" s="4"/>
      <c r="X94" s="56"/>
      <c r="Y94" s="56"/>
      <c r="Z94" s="4"/>
      <c r="AA94" s="56"/>
      <c r="AB94" s="56"/>
      <c r="AC94" s="4"/>
      <c r="AD94" s="56"/>
      <c r="AE94" s="56"/>
      <c r="AF94" s="4"/>
      <c r="AG94" s="34"/>
      <c r="AH94" s="75"/>
      <c r="AI94" s="75"/>
      <c r="AJ94" s="75"/>
      <c r="AK94" s="75"/>
      <c r="AL94" s="75"/>
      <c r="AM94" s="75"/>
      <c r="AN94" s="75"/>
      <c r="AO94" s="75"/>
      <c r="AP94" s="75"/>
      <c r="AQ94" s="75"/>
      <c r="AR94" s="235"/>
      <c r="AS94" s="11"/>
    </row>
    <row r="95" spans="2:45" s="11" customFormat="1" ht="12" customHeight="1">
      <c r="B95" s="1820"/>
      <c r="C95" s="1821"/>
      <c r="D95" s="1822"/>
      <c r="F95" s="34" t="s">
        <v>6</v>
      </c>
      <c r="G95" s="94" t="str">
        <f>'GENERAL INFO'!F38</f>
        <v> </v>
      </c>
      <c r="H95" s="367" t="s">
        <v>682</v>
      </c>
      <c r="P95" s="4" t="s">
        <v>409</v>
      </c>
      <c r="Q95" s="303" t="str">
        <f>'GENERAL INFO'!O38</f>
        <v> </v>
      </c>
      <c r="R95" s="909" t="s">
        <v>975</v>
      </c>
      <c r="S95" s="56"/>
      <c r="T95" s="4"/>
      <c r="U95" s="56"/>
      <c r="V95" s="56"/>
      <c r="W95" s="4"/>
      <c r="X95" s="56"/>
      <c r="Y95" s="56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235"/>
      <c r="AS95" s="11"/>
    </row>
    <row r="96" spans="2:45" s="11" customFormat="1" ht="3" customHeight="1">
      <c r="B96" s="1820"/>
      <c r="C96" s="1821"/>
      <c r="D96" s="1822"/>
      <c r="E96" s="41"/>
      <c r="F96" s="4"/>
      <c r="G96" s="44"/>
      <c r="H96" s="44"/>
      <c r="I96" s="11"/>
      <c r="J96" s="11"/>
      <c r="P96" s="4"/>
      <c r="R96" s="998"/>
      <c r="S96" s="4"/>
      <c r="T96" s="4"/>
      <c r="U96" s="4"/>
      <c r="V96" s="4"/>
      <c r="W96" s="4"/>
      <c r="X96" s="4"/>
      <c r="Y96" s="4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235"/>
      <c r="AS96" s="11"/>
    </row>
    <row r="97" spans="2:45" s="11" customFormat="1" ht="12" customHeight="1">
      <c r="B97" s="1820"/>
      <c r="C97" s="1821"/>
      <c r="D97" s="1822"/>
      <c r="E97" s="41"/>
      <c r="F97" s="41" t="s">
        <v>7</v>
      </c>
      <c r="G97" s="578" t="str">
        <f>'GENERAL INFO'!F40</f>
        <v> </v>
      </c>
      <c r="H97" s="999" t="s">
        <v>993</v>
      </c>
      <c r="I97" s="4"/>
      <c r="J97" s="4"/>
      <c r="P97" s="4" t="s">
        <v>410</v>
      </c>
      <c r="Q97" s="303" t="str">
        <f>'GENERAL INFO'!O40</f>
        <v> </v>
      </c>
      <c r="R97" s="909" t="s">
        <v>976</v>
      </c>
      <c r="S97" s="4"/>
      <c r="T97" s="4"/>
      <c r="U97" s="4"/>
      <c r="V97" s="4"/>
      <c r="W97" s="4"/>
      <c r="X97" s="4"/>
      <c r="AH97" s="75"/>
      <c r="AI97" s="75"/>
      <c r="AJ97" s="75"/>
      <c r="AK97" s="75"/>
      <c r="AL97" s="75"/>
      <c r="AM97" s="75"/>
      <c r="AN97" s="75"/>
      <c r="AO97" s="75"/>
      <c r="AP97" s="75"/>
      <c r="AQ97" s="75"/>
      <c r="AR97" s="235"/>
      <c r="AS97" s="11"/>
    </row>
    <row r="98" spans="2:45" s="11" customFormat="1" ht="10.5" customHeight="1">
      <c r="B98" s="1820"/>
      <c r="C98" s="1821"/>
      <c r="D98" s="1822"/>
      <c r="E98" s="41"/>
      <c r="F98" s="4"/>
      <c r="G98" s="24"/>
      <c r="H98" s="4"/>
      <c r="I98" s="4"/>
      <c r="J98" s="4"/>
      <c r="M98" s="41"/>
      <c r="N98" s="3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11"/>
      <c r="AH98" s="75"/>
      <c r="AI98" s="75"/>
      <c r="AJ98" s="75"/>
      <c r="AK98" s="75"/>
      <c r="AL98" s="75"/>
      <c r="AM98" s="75"/>
      <c r="AN98" s="75"/>
      <c r="AO98" s="75"/>
      <c r="AP98" s="75"/>
      <c r="AQ98" s="75"/>
      <c r="AR98" s="235"/>
      <c r="AS98" s="11"/>
    </row>
    <row r="99" spans="2:45" s="11" customFormat="1" ht="3.75" customHeight="1">
      <c r="B99" s="1823"/>
      <c r="C99" s="1824"/>
      <c r="D99" s="1825"/>
      <c r="E99" s="136"/>
      <c r="F99" s="136"/>
      <c r="G99" s="136"/>
      <c r="H99" s="136"/>
      <c r="I99" s="136"/>
      <c r="J99" s="136"/>
      <c r="K99" s="136"/>
      <c r="L99" s="136"/>
      <c r="M99" s="136"/>
      <c r="N99" s="136"/>
      <c r="O99" s="136"/>
      <c r="P99" s="136"/>
      <c r="Q99" s="136"/>
      <c r="R99" s="136"/>
      <c r="S99" s="136"/>
      <c r="T99" s="136"/>
      <c r="U99" s="137"/>
      <c r="V99" s="136"/>
      <c r="W99" s="136"/>
      <c r="X99" s="136"/>
      <c r="Y99" s="136"/>
      <c r="Z99" s="136"/>
      <c r="AA99" s="136"/>
      <c r="AB99" s="136"/>
      <c r="AC99" s="136"/>
      <c r="AD99" s="137"/>
      <c r="AE99" s="128"/>
      <c r="AF99" s="128"/>
      <c r="AG99" s="138"/>
      <c r="AH99" s="292"/>
      <c r="AI99" s="292"/>
      <c r="AJ99" s="292"/>
      <c r="AK99" s="292"/>
      <c r="AL99" s="292"/>
      <c r="AM99" s="292"/>
      <c r="AN99" s="292"/>
      <c r="AO99" s="292"/>
      <c r="AP99" s="292"/>
      <c r="AQ99" s="292"/>
      <c r="AR99" s="238"/>
      <c r="AS99" s="11"/>
    </row>
    <row r="100" spans="2:45" s="11" customFormat="1" ht="8.25" customHeight="1">
      <c r="B100" s="1845" t="s">
        <v>683</v>
      </c>
      <c r="C100" s="1805"/>
      <c r="D100" s="1806"/>
      <c r="E100" s="132"/>
      <c r="F100" s="133"/>
      <c r="G100" s="139"/>
      <c r="H100" s="139"/>
      <c r="I100" s="139"/>
      <c r="J100" s="139"/>
      <c r="K100" s="139"/>
      <c r="L100" s="139"/>
      <c r="M100" s="139"/>
      <c r="N100" s="139"/>
      <c r="O100" s="139"/>
      <c r="P100" s="139"/>
      <c r="Q100" s="139"/>
      <c r="R100" s="139"/>
      <c r="S100" s="133"/>
      <c r="T100" s="133"/>
      <c r="U100" s="133"/>
      <c r="V100" s="133"/>
      <c r="W100" s="133"/>
      <c r="X100" s="133"/>
      <c r="Y100" s="133"/>
      <c r="Z100" s="133"/>
      <c r="AA100" s="133"/>
      <c r="AB100" s="133"/>
      <c r="AC100" s="133"/>
      <c r="AD100" s="133"/>
      <c r="AE100" s="133"/>
      <c r="AF100" s="133"/>
      <c r="AG100" s="140"/>
      <c r="AH100" s="293"/>
      <c r="AI100" s="293"/>
      <c r="AJ100" s="293"/>
      <c r="AK100" s="293"/>
      <c r="AL100" s="293"/>
      <c r="AM100" s="293"/>
      <c r="AN100" s="293"/>
      <c r="AO100" s="293"/>
      <c r="AP100" s="293"/>
      <c r="AQ100" s="293"/>
      <c r="AR100" s="239"/>
      <c r="AS100" s="11"/>
    </row>
    <row r="101" spans="2:45" s="11" customFormat="1" ht="15.75" customHeight="1">
      <c r="B101" s="1807"/>
      <c r="C101" s="1808"/>
      <c r="D101" s="1809"/>
      <c r="E101" s="41" t="s">
        <v>405</v>
      </c>
      <c r="F101" s="908" t="s">
        <v>684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X101" s="4" t="s">
        <v>121</v>
      </c>
      <c r="Y101" s="41"/>
      <c r="Z101" s="41"/>
      <c r="AA101" s="41"/>
      <c r="AB101" s="41"/>
      <c r="AC101" s="41"/>
      <c r="AD101" s="41"/>
      <c r="AE101" s="41"/>
      <c r="AF101" s="121"/>
      <c r="AG101" s="82">
        <v>18</v>
      </c>
      <c r="AH101" s="1800" t="e">
        <f>IF('GENERAL INFO'!K10="X","",'Attachment JP'!X120)</f>
        <v>#VALUE!</v>
      </c>
      <c r="AI101" s="1801"/>
      <c r="AJ101" s="1801"/>
      <c r="AK101" s="1801"/>
      <c r="AL101" s="1801"/>
      <c r="AM101" s="1801"/>
      <c r="AN101" s="1801"/>
      <c r="AO101" s="1801"/>
      <c r="AP101" s="1801"/>
      <c r="AQ101" s="1801"/>
      <c r="AR101" s="256"/>
      <c r="AS101" s="11"/>
    </row>
    <row r="102" spans="2:45" s="11" customFormat="1" ht="3.75" customHeight="1">
      <c r="B102" s="1807"/>
      <c r="C102" s="1808"/>
      <c r="D102" s="1809"/>
      <c r="E102" s="17"/>
      <c r="F102" s="11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799"/>
      <c r="AH102" s="1802"/>
      <c r="AI102" s="1803"/>
      <c r="AJ102" s="1803"/>
      <c r="AK102" s="1803"/>
      <c r="AL102" s="1803"/>
      <c r="AM102" s="1803"/>
      <c r="AN102" s="1803"/>
      <c r="AO102" s="1803"/>
      <c r="AP102" s="1803"/>
      <c r="AQ102" s="1803"/>
      <c r="AR102" s="263"/>
      <c r="AS102" s="11"/>
    </row>
    <row r="103" spans="2:45" s="11" customFormat="1" ht="12" customHeight="1">
      <c r="B103" s="1807"/>
      <c r="C103" s="1808"/>
      <c r="D103" s="1809"/>
      <c r="E103" s="41"/>
      <c r="F103" s="908" t="s">
        <v>685</v>
      </c>
      <c r="G103" s="5"/>
      <c r="H103" s="5"/>
      <c r="I103" s="5"/>
      <c r="J103" s="5"/>
      <c r="K103" s="76"/>
      <c r="L103" s="4"/>
      <c r="M103" s="4"/>
      <c r="N103" s="4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1"/>
      <c r="AB103" s="11"/>
      <c r="AC103" s="11"/>
      <c r="AD103" s="11"/>
      <c r="AE103" s="11"/>
      <c r="AF103" s="11"/>
      <c r="AG103" s="46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22"/>
      <c r="AS103" s="11"/>
    </row>
    <row r="104" spans="2:45" s="11" customFormat="1" ht="14.25" customHeight="1">
      <c r="B104" s="1807"/>
      <c r="C104" s="1808"/>
      <c r="D104" s="1809"/>
      <c r="E104" s="41"/>
      <c r="F104" s="41" t="s">
        <v>6</v>
      </c>
      <c r="G104" s="241" t="e">
        <f>IF('GENERAL INFO'!K10="X","",IF((AH72=0),"X",IF(AND(irregularoverseasincome=0,ISBLANK(dateofdeparture)=True,(dateofdeparture-taxyearend)&lt;0,ISBLANK('GENERAL INFO'!$W$55),WORKPERIOD=12),"X","")))</f>
        <v>#DIV/0!</v>
      </c>
      <c r="H104" s="44" t="s">
        <v>686</v>
      </c>
      <c r="I104" s="908"/>
      <c r="J104" s="4"/>
      <c r="K104" s="4"/>
      <c r="L104" s="4"/>
      <c r="M104" s="4"/>
      <c r="N104" s="4"/>
      <c r="O104" s="4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1"/>
      <c r="AB104" s="11"/>
      <c r="AC104" s="11"/>
      <c r="AD104" s="11"/>
      <c r="AE104" s="11"/>
      <c r="AF104" s="11"/>
      <c r="AG104" s="46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22"/>
      <c r="AS104" s="11"/>
    </row>
    <row r="105" spans="2:45" s="11" customFormat="1" ht="3" customHeight="1">
      <c r="B105" s="1807"/>
      <c r="C105" s="1808"/>
      <c r="D105" s="1809"/>
      <c r="E105" s="49"/>
      <c r="F105" s="210"/>
      <c r="G105" s="50"/>
      <c r="H105" s="107"/>
      <c r="I105" s="50"/>
      <c r="J105" s="50"/>
      <c r="K105" s="50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8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22"/>
      <c r="AS105" s="11"/>
    </row>
    <row r="106" spans="2:44" s="11" customFormat="1" ht="14.25" customHeight="1">
      <c r="B106" s="1807"/>
      <c r="C106" s="1808"/>
      <c r="D106" s="1809"/>
      <c r="E106" s="11"/>
      <c r="F106" s="41" t="s">
        <v>7</v>
      </c>
      <c r="G106" s="241" t="e">
        <f>IF('GENERAL INFO'!K10="X","",IF(G104="X","","X"))</f>
        <v>#DIV/0!</v>
      </c>
      <c r="H106" s="997" t="s">
        <v>687</v>
      </c>
      <c r="I106" s="5"/>
      <c r="J106" s="5"/>
      <c r="K106" s="5"/>
      <c r="L106" s="5"/>
      <c r="M106" s="5"/>
      <c r="N106" s="5"/>
      <c r="O106" s="76" t="str">
        <f>IF(dateofdeparture&gt;0,"*Taxpayer has left Indonesia permanently on","")</f>
        <v/>
      </c>
      <c r="P106" s="5"/>
      <c r="Q106" s="5"/>
      <c r="R106" s="11"/>
      <c r="S106" s="11"/>
      <c r="T106" s="11"/>
      <c r="U106" s="11"/>
      <c r="V106" s="11"/>
      <c r="W106" s="11"/>
      <c r="X106" s="11"/>
      <c r="Y106" s="1770" t="str">
        <f>IF(dateofdeparture&gt;0,dateofdeparture,"")</f>
        <v/>
      </c>
      <c r="Z106" s="1770"/>
      <c r="AA106" s="1770"/>
      <c r="AB106" s="1770"/>
      <c r="AC106" s="1770"/>
      <c r="AD106" s="11"/>
      <c r="AE106" s="5"/>
      <c r="AF106" s="5"/>
      <c r="AG106" s="8"/>
      <c r="AH106" s="11"/>
      <c r="AI106" s="11"/>
      <c r="AJ106" s="11"/>
      <c r="AK106" s="11"/>
      <c r="AL106" s="11"/>
      <c r="AM106" s="4"/>
      <c r="AN106" s="4"/>
      <c r="AO106" s="11"/>
      <c r="AP106" s="11"/>
      <c r="AQ106" s="11"/>
      <c r="AR106" s="122"/>
    </row>
    <row r="107" spans="2:44" s="11" customFormat="1" ht="4" customHeight="1">
      <c r="B107" s="1810"/>
      <c r="C107" s="1811"/>
      <c r="D107" s="1812"/>
      <c r="E107" s="130"/>
      <c r="F107" s="128"/>
      <c r="G107" s="128"/>
      <c r="H107" s="128"/>
      <c r="I107" s="128"/>
      <c r="J107" s="128"/>
      <c r="K107" s="128"/>
      <c r="L107" s="128"/>
      <c r="M107" s="128"/>
      <c r="N107" s="128"/>
      <c r="O107" s="128"/>
      <c r="P107" s="128"/>
      <c r="Q107" s="128"/>
      <c r="R107" s="128"/>
      <c r="S107" s="128"/>
      <c r="T107" s="128"/>
      <c r="U107" s="128"/>
      <c r="V107" s="128"/>
      <c r="W107" s="128"/>
      <c r="X107" s="128"/>
      <c r="Y107" s="128"/>
      <c r="Z107" s="128"/>
      <c r="AA107" s="128"/>
      <c r="AB107" s="128"/>
      <c r="AC107" s="128"/>
      <c r="AD107" s="128"/>
      <c r="AE107" s="128"/>
      <c r="AF107" s="128"/>
      <c r="AG107" s="128"/>
      <c r="AH107" s="128"/>
      <c r="AI107" s="128"/>
      <c r="AJ107" s="128"/>
      <c r="AK107" s="128"/>
      <c r="AL107" s="128"/>
      <c r="AM107" s="128"/>
      <c r="AN107" s="128"/>
      <c r="AO107" s="128"/>
      <c r="AP107" s="128"/>
      <c r="AQ107" s="128"/>
      <c r="AR107" s="129"/>
    </row>
    <row r="108" spans="2:44" s="11" customFormat="1" ht="3" customHeight="1">
      <c r="B108" s="1846" t="s">
        <v>688</v>
      </c>
      <c r="C108" s="1847"/>
      <c r="D108" s="1848"/>
      <c r="E108" s="132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  <c r="AA108" s="133"/>
      <c r="AB108" s="133"/>
      <c r="AC108" s="133"/>
      <c r="AD108" s="133"/>
      <c r="AE108" s="133"/>
      <c r="AF108" s="133"/>
      <c r="AG108" s="133"/>
      <c r="AH108" s="133"/>
      <c r="AI108" s="133"/>
      <c r="AJ108" s="133"/>
      <c r="AK108" s="133"/>
      <c r="AL108" s="133"/>
      <c r="AM108" s="133"/>
      <c r="AN108" s="133"/>
      <c r="AO108" s="133"/>
      <c r="AP108" s="133"/>
      <c r="AQ108" s="133"/>
      <c r="AR108" s="135"/>
    </row>
    <row r="109" spans="2:51" s="11" customFormat="1" ht="17.25" customHeight="1">
      <c r="B109" s="1849"/>
      <c r="C109" s="1850"/>
      <c r="D109" s="1851"/>
      <c r="E109" s="41" t="s">
        <v>6</v>
      </c>
      <c r="F109" s="241" t="str">
        <f>IF('GENERAL INFO'!F43&lt;&gt;"",'GENERAL INFO'!F43, "")</f>
        <v/>
      </c>
      <c r="G109" s="909" t="s">
        <v>689</v>
      </c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11"/>
      <c r="Y109" s="11"/>
      <c r="Z109" s="41" t="s">
        <v>145</v>
      </c>
      <c r="AA109" s="241" t="str">
        <f>'GENERAL INFO'!F49</f>
        <v> </v>
      </c>
      <c r="AB109" s="1855" t="s">
        <v>690</v>
      </c>
      <c r="AC109" s="1856"/>
      <c r="AD109" s="1856"/>
      <c r="AE109" s="1856"/>
      <c r="AF109" s="1856"/>
      <c r="AG109" s="1856"/>
      <c r="AH109" s="1856"/>
      <c r="AI109" s="1856"/>
      <c r="AJ109" s="1856"/>
      <c r="AK109" s="1856"/>
      <c r="AL109" s="1856"/>
      <c r="AM109" s="1856"/>
      <c r="AN109" s="1856"/>
      <c r="AO109" s="1856"/>
      <c r="AP109" s="1856"/>
      <c r="AQ109" s="1856"/>
      <c r="AR109" s="1857"/>
      <c r="AY109" s="11"/>
    </row>
    <row r="110" spans="2:51" s="11" customFormat="1" ht="3.75" customHeight="1">
      <c r="B110" s="1849"/>
      <c r="C110" s="1850"/>
      <c r="D110" s="1851"/>
      <c r="E110" s="41"/>
      <c r="F110" s="210"/>
      <c r="G110" s="909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11"/>
      <c r="Y110" s="11"/>
      <c r="Z110" s="41"/>
      <c r="AA110" s="210"/>
      <c r="AB110" s="1856"/>
      <c r="AC110" s="1856"/>
      <c r="AD110" s="1856"/>
      <c r="AE110" s="1856"/>
      <c r="AF110" s="1856"/>
      <c r="AG110" s="1856"/>
      <c r="AH110" s="1856"/>
      <c r="AI110" s="1856"/>
      <c r="AJ110" s="1856"/>
      <c r="AK110" s="1856"/>
      <c r="AL110" s="1856"/>
      <c r="AM110" s="1856"/>
      <c r="AN110" s="1856"/>
      <c r="AO110" s="1856"/>
      <c r="AP110" s="1856"/>
      <c r="AQ110" s="1856"/>
      <c r="AR110" s="1857"/>
      <c r="AY110" s="11"/>
    </row>
    <row r="111" spans="2:51" s="11" customFormat="1" ht="15" customHeight="1">
      <c r="B111" s="1849"/>
      <c r="C111" s="1850"/>
      <c r="D111" s="1851"/>
      <c r="E111" s="41" t="s">
        <v>7</v>
      </c>
      <c r="F111" s="241" t="str">
        <f>IF('GENERAL INFO'!F45&lt;&gt;"",'GENERAL INFO'!F45,"")</f>
        <v> </v>
      </c>
      <c r="G111" s="909" t="s">
        <v>691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11"/>
      <c r="Y111" s="11"/>
      <c r="Z111" s="41" t="s">
        <v>146</v>
      </c>
      <c r="AA111" s="241" t="str">
        <f>IF('GENERAL INFO'!F52&lt;&gt;"", 'GENERAL INFO'!F52,"")</f>
        <v> </v>
      </c>
      <c r="AB111" s="1858" t="s">
        <v>710</v>
      </c>
      <c r="AC111" s="1859"/>
      <c r="AD111" s="1859">
        <v>0</v>
      </c>
      <c r="AE111" s="1859"/>
      <c r="AF111" s="1859">
        <v>0</v>
      </c>
      <c r="AG111" s="1859"/>
      <c r="AH111" s="1859">
        <v>0</v>
      </c>
      <c r="AI111" s="1859"/>
      <c r="AJ111" s="1859">
        <v>0</v>
      </c>
      <c r="AK111" s="1859"/>
      <c r="AL111" s="1859">
        <v>0</v>
      </c>
      <c r="AM111" s="1859"/>
      <c r="AN111" s="1859">
        <v>0</v>
      </c>
      <c r="AO111" s="1859"/>
      <c r="AP111" s="1859">
        <v>0</v>
      </c>
      <c r="AQ111" s="1859"/>
      <c r="AR111" s="122"/>
      <c r="AY111" s="11"/>
    </row>
    <row r="112" spans="2:44" s="11" customFormat="1" ht="2.15" customHeight="1">
      <c r="B112" s="1849"/>
      <c r="C112" s="1850"/>
      <c r="D112" s="1851"/>
      <c r="E112" s="41"/>
      <c r="F112" s="210"/>
      <c r="G112" s="909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11"/>
      <c r="Y112" s="11"/>
      <c r="Z112" s="41"/>
      <c r="AA112" s="50"/>
      <c r="AB112" s="44"/>
      <c r="AC112" s="4"/>
      <c r="AD112" s="4"/>
      <c r="AE112" s="4"/>
      <c r="AF112" s="4"/>
      <c r="AG112" s="4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22"/>
    </row>
    <row r="113" spans="2:44" s="11" customFormat="1" ht="15" customHeight="1">
      <c r="B113" s="1849"/>
      <c r="C113" s="1850"/>
      <c r="D113" s="1851"/>
      <c r="E113" s="121" t="s">
        <v>8</v>
      </c>
      <c r="F113" s="241" t="str">
        <f>IF('GENERAL INFO'!F47&lt;&gt;"", 'GENERAL INFO'!F47,"")</f>
        <v> </v>
      </c>
      <c r="G113" s="997" t="s">
        <v>692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34"/>
      <c r="T113" s="34"/>
      <c r="U113" s="4"/>
      <c r="V113" s="34"/>
      <c r="W113" s="34"/>
      <c r="X113" s="34"/>
      <c r="Y113" s="34"/>
      <c r="Z113" s="34"/>
      <c r="AA113" s="34"/>
      <c r="AB113" s="1860" t="s">
        <v>197</v>
      </c>
      <c r="AC113" s="1860"/>
      <c r="AD113" s="1860"/>
      <c r="AE113" s="1860"/>
      <c r="AF113" s="1860"/>
      <c r="AG113" s="1860"/>
      <c r="AH113" s="1860"/>
      <c r="AI113" s="1860"/>
      <c r="AJ113" s="1860"/>
      <c r="AK113" s="1860"/>
      <c r="AL113" s="1860"/>
      <c r="AM113" s="1860"/>
      <c r="AN113" s="1860"/>
      <c r="AO113" s="1860"/>
      <c r="AP113" s="1860"/>
      <c r="AQ113" s="11"/>
      <c r="AR113" s="122"/>
    </row>
    <row r="114" spans="2:44" s="11" customFormat="1" ht="4" customHeight="1">
      <c r="B114" s="1852"/>
      <c r="C114" s="1853"/>
      <c r="D114" s="1854"/>
      <c r="E114" s="130"/>
      <c r="F114" s="128"/>
      <c r="G114" s="128"/>
      <c r="H114" s="128"/>
      <c r="I114" s="128"/>
      <c r="J114" s="128"/>
      <c r="K114" s="128"/>
      <c r="L114" s="128"/>
      <c r="M114" s="128"/>
      <c r="N114" s="128"/>
      <c r="O114" s="128"/>
      <c r="P114" s="128"/>
      <c r="Q114" s="128"/>
      <c r="R114" s="128"/>
      <c r="S114" s="128"/>
      <c r="T114" s="128"/>
      <c r="U114" s="128"/>
      <c r="V114" s="128"/>
      <c r="W114" s="128"/>
      <c r="X114" s="128"/>
      <c r="Y114" s="128"/>
      <c r="Z114" s="128"/>
      <c r="AA114" s="128"/>
      <c r="AB114" s="128"/>
      <c r="AC114" s="128"/>
      <c r="AD114" s="128"/>
      <c r="AE114" s="128"/>
      <c r="AF114" s="128"/>
      <c r="AG114" s="128"/>
      <c r="AH114" s="128"/>
      <c r="AI114" s="128"/>
      <c r="AJ114" s="128"/>
      <c r="AK114" s="128"/>
      <c r="AL114" s="128"/>
      <c r="AM114" s="128"/>
      <c r="AN114" s="128"/>
      <c r="AO114" s="128"/>
      <c r="AP114" s="128"/>
      <c r="AQ114" s="128"/>
      <c r="AR114" s="129"/>
    </row>
    <row r="115" spans="2:44" s="11" customFormat="1" ht="13.5" customHeight="1">
      <c r="B115" s="1841" t="s">
        <v>89</v>
      </c>
      <c r="C115" s="1842"/>
      <c r="D115" s="1842"/>
      <c r="E115" s="1842"/>
      <c r="F115" s="1842"/>
      <c r="G115" s="1842"/>
      <c r="H115" s="1842"/>
      <c r="I115" s="1842"/>
      <c r="J115" s="1842"/>
      <c r="K115" s="1842"/>
      <c r="L115" s="1842"/>
      <c r="M115" s="1842"/>
      <c r="N115" s="1842"/>
      <c r="O115" s="1842"/>
      <c r="P115" s="1842"/>
      <c r="Q115" s="1842"/>
      <c r="R115" s="1842"/>
      <c r="S115" s="1842"/>
      <c r="T115" s="1842"/>
      <c r="U115" s="1842"/>
      <c r="V115" s="1842"/>
      <c r="W115" s="1842"/>
      <c r="X115" s="1842"/>
      <c r="Y115" s="1842"/>
      <c r="Z115" s="1842"/>
      <c r="AA115" s="1842"/>
      <c r="AB115" s="1842"/>
      <c r="AC115" s="1842"/>
      <c r="AD115" s="1842"/>
      <c r="AE115" s="1842"/>
      <c r="AF115" s="1842"/>
      <c r="AG115" s="1842"/>
      <c r="AH115" s="1842"/>
      <c r="AI115" s="1842"/>
      <c r="AJ115" s="1842"/>
      <c r="AK115" s="1842"/>
      <c r="AL115" s="1842"/>
      <c r="AM115" s="1842"/>
      <c r="AN115" s="1842"/>
      <c r="AO115" s="1842"/>
      <c r="AP115" s="1842"/>
      <c r="AQ115" s="1842"/>
      <c r="AR115" s="1843"/>
    </row>
    <row r="116" spans="2:45" s="11" customFormat="1" ht="13" customHeight="1">
      <c r="B116" s="1000" t="s">
        <v>693</v>
      </c>
      <c r="C116" s="93"/>
      <c r="D116" s="93"/>
      <c r="E116" s="93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93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85"/>
      <c r="AB116" s="85"/>
      <c r="AC116" s="1844" t="s">
        <v>624</v>
      </c>
      <c r="AD116" s="1844"/>
      <c r="AE116" s="1844"/>
      <c r="AF116" s="1844"/>
      <c r="AG116" s="1844"/>
      <c r="AH116" s="1844"/>
      <c r="AI116" s="1844"/>
      <c r="AJ116" s="1844"/>
      <c r="AK116" s="1844"/>
      <c r="AL116" s="1844"/>
      <c r="AM116" s="1844"/>
      <c r="AN116" s="1844"/>
      <c r="AO116" s="1844"/>
      <c r="AP116" s="1844"/>
      <c r="AQ116" s="1844"/>
      <c r="AR116" s="64"/>
      <c r="AS116" s="4"/>
    </row>
    <row r="117" spans="2:45" s="11" customFormat="1" ht="13" customHeight="1">
      <c r="B117" s="1000" t="s">
        <v>1198</v>
      </c>
      <c r="C117" s="93"/>
      <c r="D117" s="93"/>
      <c r="E117" s="93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93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85"/>
      <c r="AB117" s="85"/>
      <c r="AC117" s="1844"/>
      <c r="AD117" s="1844"/>
      <c r="AE117" s="1844"/>
      <c r="AF117" s="1844"/>
      <c r="AG117" s="1844"/>
      <c r="AH117" s="1844"/>
      <c r="AI117" s="1844"/>
      <c r="AJ117" s="1844"/>
      <c r="AK117" s="1844"/>
      <c r="AL117" s="1844"/>
      <c r="AM117" s="1844"/>
      <c r="AN117" s="1844"/>
      <c r="AO117" s="1844"/>
      <c r="AP117" s="1844"/>
      <c r="AQ117" s="1844"/>
      <c r="AR117" s="64"/>
      <c r="AS117" s="4"/>
    </row>
    <row r="118" spans="2:45" s="11" customFormat="1" ht="13" customHeight="1">
      <c r="B118" s="123"/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85"/>
      <c r="AB118" s="85"/>
      <c r="AC118" s="1331"/>
      <c r="AD118" s="133"/>
      <c r="AE118" s="133"/>
      <c r="AF118" s="133"/>
      <c r="AG118" s="139"/>
      <c r="AH118" s="139"/>
      <c r="AI118" s="139"/>
      <c r="AJ118" s="139"/>
      <c r="AK118" s="139"/>
      <c r="AL118" s="139"/>
      <c r="AM118" s="139"/>
      <c r="AN118" s="139"/>
      <c r="AO118" s="139"/>
      <c r="AP118" s="139"/>
      <c r="AQ118" s="1332"/>
      <c r="AR118" s="124"/>
      <c r="AS118" s="4"/>
    </row>
    <row r="119" spans="2:45" s="11" customFormat="1" ht="6.75" customHeight="1">
      <c r="B119" s="57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57"/>
      <c r="AD119" s="4"/>
      <c r="AE119" s="4"/>
      <c r="AF119" s="4"/>
      <c r="AG119" s="4"/>
      <c r="AH119" s="11"/>
      <c r="AI119" s="11"/>
      <c r="AJ119" s="11"/>
      <c r="AK119" s="11"/>
      <c r="AL119" s="4"/>
      <c r="AM119" s="4"/>
      <c r="AN119" s="4"/>
      <c r="AO119" s="4"/>
      <c r="AP119" s="4"/>
      <c r="AQ119" s="64"/>
      <c r="AR119" s="64"/>
      <c r="AS119" s="4"/>
    </row>
    <row r="120" spans="2:45" s="11" customFormat="1" ht="20.15" customHeight="1">
      <c r="B120" s="125"/>
      <c r="C120" s="240" t="str">
        <f>'GENERAL INFO'!B58</f>
        <v>X</v>
      </c>
      <c r="D120" s="62" t="s">
        <v>694</v>
      </c>
      <c r="E120" s="11"/>
      <c r="F120" s="11"/>
      <c r="G120" s="11"/>
      <c r="H120" s="11"/>
      <c r="I120" s="260" t="str">
        <f>'GENERAL INFO'!B59</f>
        <v> </v>
      </c>
      <c r="J120" s="44" t="s">
        <v>695</v>
      </c>
      <c r="K120" s="62"/>
      <c r="L120" s="62"/>
      <c r="M120" s="62"/>
      <c r="N120" s="44" t="s">
        <v>625</v>
      </c>
      <c r="O120" s="62"/>
      <c r="P120" s="11"/>
      <c r="Q120" s="11"/>
      <c r="R120" s="303"/>
      <c r="S120" s="303"/>
      <c r="T120" s="11"/>
      <c r="U120" s="303"/>
      <c r="V120" s="303"/>
      <c r="W120" s="11"/>
      <c r="X120" s="303"/>
      <c r="Y120" s="303"/>
      <c r="Z120" s="303"/>
      <c r="AA120" s="303"/>
      <c r="AB120" s="11"/>
      <c r="AC120" s="125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22"/>
      <c r="AR120" s="122"/>
      <c r="AS120" s="11"/>
    </row>
    <row r="121" spans="2:45" s="11" customFormat="1" ht="13" customHeight="1">
      <c r="B121" s="125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7" t="s">
        <v>626</v>
      </c>
      <c r="S121" s="7"/>
      <c r="T121" s="368"/>
      <c r="U121" s="7" t="s">
        <v>627</v>
      </c>
      <c r="V121" s="7"/>
      <c r="W121" s="368"/>
      <c r="X121" s="7" t="s">
        <v>628</v>
      </c>
      <c r="Y121" s="7"/>
      <c r="Z121" s="7"/>
      <c r="AA121" s="7"/>
      <c r="AB121" s="11"/>
      <c r="AC121" s="1333"/>
      <c r="AD121" s="5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22"/>
      <c r="AR121" s="122"/>
      <c r="AS121" s="11"/>
    </row>
    <row r="122" spans="2:45" s="11" customFormat="1" ht="20.15" customHeight="1">
      <c r="B122" s="1001" t="s">
        <v>694</v>
      </c>
      <c r="C122" s="909"/>
      <c r="D122" s="909"/>
      <c r="E122" s="909"/>
      <c r="F122" s="913"/>
      <c r="G122" s="913" t="s">
        <v>26</v>
      </c>
      <c r="H122" s="1335">
        <f>name</f>
        <v>0</v>
      </c>
      <c r="I122" s="1328"/>
      <c r="J122" s="1328"/>
      <c r="K122" s="1328"/>
      <c r="L122" s="1328"/>
      <c r="M122" s="1328"/>
      <c r="N122" s="1328"/>
      <c r="O122" s="1328"/>
      <c r="P122" s="1328"/>
      <c r="Q122" s="1328"/>
      <c r="R122" s="1328"/>
      <c r="S122" s="1328"/>
      <c r="T122" s="1328"/>
      <c r="U122" s="1328"/>
      <c r="V122" s="1328"/>
      <c r="W122" s="1328"/>
      <c r="X122" s="1328"/>
      <c r="Y122" s="1328"/>
      <c r="Z122" s="1328"/>
      <c r="AA122" s="1328"/>
      <c r="AB122" s="11"/>
      <c r="AC122" s="125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22"/>
      <c r="AR122" s="122"/>
      <c r="AS122" s="11"/>
    </row>
    <row r="123" spans="2:45" s="11" customFormat="1" ht="4" customHeight="1">
      <c r="B123" s="1002"/>
      <c r="C123" s="913"/>
      <c r="D123" s="913"/>
      <c r="E123" s="913"/>
      <c r="F123" s="913"/>
      <c r="G123" s="913"/>
      <c r="H123" s="71"/>
      <c r="I123" s="71"/>
      <c r="J123" s="71"/>
      <c r="K123" s="71"/>
      <c r="L123" s="71"/>
      <c r="M123" s="71"/>
      <c r="N123" s="71"/>
      <c r="O123" s="71"/>
      <c r="P123" s="71"/>
      <c r="Q123" s="71"/>
      <c r="R123" s="71"/>
      <c r="S123" s="71"/>
      <c r="T123" s="71"/>
      <c r="U123" s="71"/>
      <c r="V123" s="71"/>
      <c r="W123" s="71"/>
      <c r="X123" s="71"/>
      <c r="Y123" s="71"/>
      <c r="Z123" s="71"/>
      <c r="AA123" s="71"/>
      <c r="AB123" s="11"/>
      <c r="AC123" s="125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22"/>
      <c r="AR123" s="122"/>
      <c r="AS123" s="11"/>
    </row>
    <row r="124" spans="2:45" s="11" customFormat="1" ht="20.15" customHeight="1">
      <c r="B124" s="1003" t="s">
        <v>1195</v>
      </c>
      <c r="C124" s="909"/>
      <c r="D124" s="909"/>
      <c r="E124" s="909"/>
      <c r="F124" s="913"/>
      <c r="G124" s="913" t="s">
        <v>26</v>
      </c>
      <c r="H124" s="1336" t="str">
        <f>IF($C$120="X",LEFT(npwp01,1),LEFT(proxyid01,1))</f>
        <v/>
      </c>
      <c r="I124" s="1336" t="str">
        <f>IF($C$120="X",MID(npwp01,2,1),MID(proxyid01,2,1))</f>
        <v/>
      </c>
      <c r="J124" s="252"/>
      <c r="K124" s="1336" t="str">
        <f>IF($C$120="X",MID(npwp01,3,1),MID(proxyid01,3,1))</f>
        <v/>
      </c>
      <c r="L124" s="1336" t="str">
        <f>IF($C$120="X",MID(npwp01,4,1),MID(proxyid01,4,1))</f>
        <v/>
      </c>
      <c r="M124" s="1336" t="str">
        <f>IF($C$120="X",MID(npwp01,5,1),MID(proxyid01,5,1))</f>
        <v/>
      </c>
      <c r="N124" s="252"/>
      <c r="O124" s="1336" t="str">
        <f>IF($C$120="X",MID(npwp01,6,1),MID(proxyid01,6,1))</f>
        <v/>
      </c>
      <c r="P124" s="1336" t="str">
        <f>IF($C$120="X",MID(npwp01,7,1),MID(proxyid01,7,1))</f>
        <v/>
      </c>
      <c r="Q124" s="1336" t="str">
        <f>IF($C$120="X",MID(npwp01,8,1),MID(proxyid01,8,1))</f>
        <v/>
      </c>
      <c r="R124" s="252"/>
      <c r="S124" s="1336" t="str">
        <f>IF($C$120="X",MID(npwp01,9,1),MID(proxyid01,9,1))</f>
        <v/>
      </c>
      <c r="T124" s="252"/>
      <c r="U124" s="1336" t="str">
        <f>IF($C$120="X",MID(npwp01,10,1),MID(proxyid01,10,1))</f>
        <v/>
      </c>
      <c r="V124" s="1336" t="str">
        <f>IF($C$120="X",MID(npwp01,11,1),MID(proxyid01,11,1))</f>
        <v/>
      </c>
      <c r="W124" s="1336" t="str">
        <f>IF($C$120="X",MID(npwp01,12,1),MID(proxyid01,12,1))</f>
        <v/>
      </c>
      <c r="X124" s="252"/>
      <c r="Y124" s="1336" t="str">
        <f>IF($C$120="X",MID(npwp01,13,1),MID(proxyid01,13,1))</f>
        <v/>
      </c>
      <c r="Z124" s="1336" t="str">
        <f>IF($C$120="X",MID(npwp01,14,1),MID(proxyid01,14,1))</f>
        <v/>
      </c>
      <c r="AA124" s="1336" t="str">
        <f>IF($C$120="X",MID(npwp01,15,1),MID(proxyid01,15,1))</f>
        <v/>
      </c>
      <c r="AB124" s="11"/>
      <c r="AC124" s="1334"/>
      <c r="AD124" s="128"/>
      <c r="AE124" s="128"/>
      <c r="AF124" s="128"/>
      <c r="AG124" s="128"/>
      <c r="AH124" s="128"/>
      <c r="AI124" s="128"/>
      <c r="AJ124" s="128"/>
      <c r="AK124" s="128"/>
      <c r="AL124" s="128"/>
      <c r="AM124" s="128"/>
      <c r="AN124" s="128"/>
      <c r="AO124" s="128"/>
      <c r="AP124" s="128"/>
      <c r="AQ124" s="129"/>
      <c r="AR124" s="122"/>
      <c r="AS124" s="11"/>
    </row>
    <row r="125" spans="2:45" s="11" customFormat="1" ht="15" customHeight="1">
      <c r="B125" s="127"/>
      <c r="C125" s="43"/>
      <c r="D125" s="43"/>
      <c r="E125" s="43"/>
      <c r="F125" s="128"/>
      <c r="G125" s="128"/>
      <c r="H125" s="128"/>
      <c r="I125" s="128"/>
      <c r="J125" s="128"/>
      <c r="K125" s="128"/>
      <c r="L125" s="128"/>
      <c r="M125" s="128"/>
      <c r="N125" s="128"/>
      <c r="O125" s="128"/>
      <c r="P125" s="128"/>
      <c r="Q125" s="128"/>
      <c r="R125" s="128"/>
      <c r="S125" s="128"/>
      <c r="T125" s="128"/>
      <c r="U125" s="128"/>
      <c r="V125" s="128"/>
      <c r="W125" s="128"/>
      <c r="X125" s="128"/>
      <c r="Y125" s="128"/>
      <c r="Z125" s="128"/>
      <c r="AA125" s="128"/>
      <c r="AB125" s="128"/>
      <c r="AC125" s="128"/>
      <c r="AD125" s="128"/>
      <c r="AE125" s="128"/>
      <c r="AF125" s="128"/>
      <c r="AG125" s="128"/>
      <c r="AH125" s="128"/>
      <c r="AI125" s="128"/>
      <c r="AJ125" s="128"/>
      <c r="AK125" s="128"/>
      <c r="AL125" s="128"/>
      <c r="AM125" s="128"/>
      <c r="AN125" s="128"/>
      <c r="AO125" s="128"/>
      <c r="AP125" s="128"/>
      <c r="AQ125" s="128"/>
      <c r="AR125" s="129"/>
      <c r="AS125" s="11"/>
    </row>
    <row r="126" spans="2:45" s="11" customFormat="1" ht="12" customHeight="1">
      <c r="B126" s="35" t="s">
        <v>87</v>
      </c>
      <c r="C126" s="35"/>
      <c r="D126" s="35"/>
      <c r="E126" s="4"/>
      <c r="H126" s="11"/>
      <c r="I126" s="11"/>
      <c r="K126" s="11"/>
      <c r="L126" s="11"/>
      <c r="M126" s="11"/>
      <c r="O126" s="11"/>
      <c r="P126" s="11"/>
      <c r="Q126" s="11"/>
      <c r="S126" s="11"/>
      <c r="U126" s="11"/>
      <c r="V126" s="11"/>
      <c r="W126" s="11"/>
      <c r="Y126" s="11"/>
      <c r="Z126" s="11"/>
      <c r="AA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</row>
    <row r="127" spans="2:45" s="11" customFormat="1" ht="10" customHeight="1">
      <c r="B127" s="20"/>
      <c r="C127" s="11"/>
      <c r="D127" s="11"/>
      <c r="E127" s="11"/>
      <c r="F127" s="11"/>
      <c r="AS127" s="18"/>
    </row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20.25" customHeight="1"/>
    <row r="335" ht="20.2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</sheetData>
  <sheetProtection password="BDAF" sheet="1" objects="1" scenarios="1" selectLockedCells="1" selectUnlockedCells="1"/>
  <mergeCells count="91">
    <mergeCell ref="D25:AR25"/>
    <mergeCell ref="B11:C25"/>
    <mergeCell ref="B115:AR115"/>
    <mergeCell ref="AC116:AQ117"/>
    <mergeCell ref="R121:S121"/>
    <mergeCell ref="U121:V121"/>
    <mergeCell ref="X121:AA121"/>
    <mergeCell ref="B100:D107"/>
    <mergeCell ref="AG101:AG102"/>
    <mergeCell ref="AH101:AQ102"/>
    <mergeCell ref="B108:D114"/>
    <mergeCell ref="AB109:AR110"/>
    <mergeCell ref="AB111:AQ111"/>
    <mergeCell ref="S113:T113"/>
    <mergeCell ref="AB113:AP113"/>
    <mergeCell ref="AG83:AG84"/>
    <mergeCell ref="AH83:AQ84"/>
    <mergeCell ref="B86:D99"/>
    <mergeCell ref="X87:AE89"/>
    <mergeCell ref="U90:V92"/>
    <mergeCell ref="AG90:AG92"/>
    <mergeCell ref="AH90:AQ92"/>
    <mergeCell ref="X91:Y92"/>
    <mergeCell ref="AA91:AB92"/>
    <mergeCell ref="AD91:AE92"/>
    <mergeCell ref="B67:D85"/>
    <mergeCell ref="F68:AF68"/>
    <mergeCell ref="S72:T74"/>
    <mergeCell ref="F77:M77"/>
    <mergeCell ref="AH77:AQ78"/>
    <mergeCell ref="AG80:AG81"/>
    <mergeCell ref="AH80:AQ81"/>
    <mergeCell ref="AG77:AG78"/>
    <mergeCell ref="B56:D65"/>
    <mergeCell ref="AG57:AG58"/>
    <mergeCell ref="AH57:AQ58"/>
    <mergeCell ref="AG60:AG61"/>
    <mergeCell ref="AH60:AQ61"/>
    <mergeCell ref="AG63:AG64"/>
    <mergeCell ref="AH63:AQ64"/>
    <mergeCell ref="AG68:AG69"/>
    <mergeCell ref="AH68:AQ69"/>
    <mergeCell ref="AG72:AG74"/>
    <mergeCell ref="AH72:AQ74"/>
    <mergeCell ref="B47:D54"/>
    <mergeCell ref="U49:W49"/>
    <mergeCell ref="AG49:AG50"/>
    <mergeCell ref="AH49:AQ50"/>
    <mergeCell ref="AH52:AQ53"/>
    <mergeCell ref="AG38:AG39"/>
    <mergeCell ref="AH38:AQ39"/>
    <mergeCell ref="AG41:AG42"/>
    <mergeCell ref="AH41:AQ42"/>
    <mergeCell ref="AG44:AG45"/>
    <mergeCell ref="AH44:AQ45"/>
    <mergeCell ref="AG29:AG30"/>
    <mergeCell ref="AH29:AQ30"/>
    <mergeCell ref="AG32:AG33"/>
    <mergeCell ref="AH32:AQ33"/>
    <mergeCell ref="AG35:AG36"/>
    <mergeCell ref="AH35:AQ36"/>
    <mergeCell ref="AN2:AR2"/>
    <mergeCell ref="AK3:AL4"/>
    <mergeCell ref="AM3:AN4"/>
    <mergeCell ref="AO3:AP4"/>
    <mergeCell ref="AQ3:AR4"/>
    <mergeCell ref="E20:J21"/>
    <mergeCell ref="Y106:AC106"/>
    <mergeCell ref="Z18:AC18"/>
    <mergeCell ref="B2:B7"/>
    <mergeCell ref="D2:L4"/>
    <mergeCell ref="N2:AI2"/>
    <mergeCell ref="N3:AI3"/>
    <mergeCell ref="C5:M5"/>
    <mergeCell ref="C6:M6"/>
    <mergeCell ref="C9:F9"/>
    <mergeCell ref="T9:AD9"/>
    <mergeCell ref="B26:AR26"/>
    <mergeCell ref="AG27:AR27"/>
    <mergeCell ref="B29:D46"/>
    <mergeCell ref="AL9:AR9"/>
    <mergeCell ref="AJ2:AJ7"/>
    <mergeCell ref="O44:AE44"/>
    <mergeCell ref="K52:AE52"/>
    <mergeCell ref="X77:AE77"/>
    <mergeCell ref="Y80:AE80"/>
    <mergeCell ref="P29:AE29"/>
    <mergeCell ref="O32:AE32"/>
    <mergeCell ref="L35:AE35"/>
    <mergeCell ref="M38:AE38"/>
    <mergeCell ref="M41:AE41"/>
  </mergeCells>
  <printOptions horizontalCentered="1"/>
  <pageMargins left="0.7" right="0.7" top="0.75" bottom="0.75" header="0.3" footer="0.3"/>
  <pageSetup paperSize="5" scale="67" fitToHeight="0" orientation="portrait" r:id="rId1"/>
  <headerFooter alignWithMargins="0">
    <oddHeader>&amp;R&amp;"Arial,Bold"&amp;14C.2.1.&amp;P</oddHeader>
    <oddFooter>&amp;L&amp;8Page &amp;P of &amp;N&amp;R&amp;8Printed on &amp;D,&amp;T</oddFooter>
  </headerFooter>
</worksheet>
</file>

<file path=xl/worksheets/sheet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6699"/>
    <pageSetUpPr fitToPage="1"/>
  </sheetPr>
  <dimension ref="A1:BC119"/>
  <sheetViews>
    <sheetView showGridLines="0" zoomScaleNormal="75" zoomScaleSheetLayoutView="100" view="pageBreakPreview" workbookViewId="0">
      <selection pane="topLeft" activeCell="D2" sqref="D2"/>
    </sheetView>
  </sheetViews>
  <sheetFormatPr defaultColWidth="3.7109375" customHeight="1" defaultRowHeight="10" baseColWidth="0"/>
  <cols>
    <col min="1" max="1" width="3.7109375" customWidth="1"/>
    <col min="2" max="2" width="3.99609375" customWidth="1"/>
    <col min="3" max="11" width="3.7109375" customWidth="1"/>
    <col min="12" max="12" width="3.7109375" style="22" customWidth="1"/>
    <col min="31" max="31" width="3.7109375" customWidth="1"/>
    <col min="33" max="33" width="3.8515625" customWidth="1"/>
    <col min="34" max="35" width="3.7109375" customWidth="1"/>
    <col min="36" max="36" width="3.8515625" customWidth="1"/>
    <col min="37" max="37" width="3.99609375" customWidth="1"/>
  </cols>
  <sheetData>
    <row r="1" spans="1:41" customHeight="1">
      <c r="A1" s="1"/>
      <c r="AO1" s="1"/>
    </row>
    <row r="2" spans="1:39" ht="15" customHeight="1">
      <c r="A2"/>
      <c r="B2" s="1772" t="s">
        <v>630</v>
      </c>
      <c r="C2" s="70"/>
      <c r="D2" s="1774" t="s">
        <v>82</v>
      </c>
      <c r="E2" s="1774"/>
      <c r="F2" s="1774"/>
      <c r="G2" s="1774"/>
      <c r="H2" s="1774"/>
      <c r="I2" s="1774"/>
      <c r="J2" s="1774"/>
      <c r="K2" s="1774"/>
      <c r="L2" s="83"/>
      <c r="M2" s="1882" t="s">
        <v>696</v>
      </c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1883"/>
      <c r="AD2" s="1884" t="s">
        <v>632</v>
      </c>
      <c r="AE2" s="1838"/>
      <c r="AM2"/>
    </row>
    <row r="3" spans="2:39" ht="20.15" customHeight="1" thickBot="1">
      <c r="B3" s="1772"/>
      <c r="C3" s="25"/>
      <c r="D3" s="1774"/>
      <c r="E3" s="1774"/>
      <c r="F3" s="1774"/>
      <c r="G3" s="1774"/>
      <c r="H3" s="1774"/>
      <c r="I3" s="1774"/>
      <c r="J3" s="1774"/>
      <c r="K3" s="1774"/>
      <c r="L3" s="83"/>
      <c r="M3" s="1886" t="s">
        <v>697</v>
      </c>
      <c r="N3" s="1887"/>
      <c r="O3" s="1887"/>
      <c r="P3" s="1887"/>
      <c r="Q3" s="1887"/>
      <c r="R3" s="1887"/>
      <c r="S3" s="1887"/>
      <c r="T3" s="1887"/>
      <c r="U3" s="1887"/>
      <c r="V3" s="1887"/>
      <c r="W3" s="1887"/>
      <c r="X3" s="1887"/>
      <c r="Y3" s="1887"/>
      <c r="Z3" s="1887"/>
      <c r="AA3" s="1887"/>
      <c r="AB3" s="1887"/>
      <c r="AC3" s="1888"/>
      <c r="AD3" s="1884"/>
      <c r="AE3" s="1838"/>
      <c r="AF3" s="1889">
        <f>year01</f>
        <v>0</v>
      </c>
      <c r="AG3" s="1874"/>
      <c r="AH3" s="1873">
        <f>year02</f>
        <v>0</v>
      </c>
      <c r="AI3" s="1874"/>
      <c r="AJ3" s="1873">
        <f>year03</f>
        <v>0</v>
      </c>
      <c r="AK3" s="1874"/>
      <c r="AL3" s="1873">
        <f>year04</f>
        <v>0</v>
      </c>
      <c r="AM3" s="1874"/>
    </row>
    <row r="4" spans="2:40" ht="15" customHeight="1">
      <c r="B4" s="1772"/>
      <c r="C4" s="25"/>
      <c r="D4" s="1774"/>
      <c r="E4" s="1774"/>
      <c r="F4" s="1774"/>
      <c r="G4" s="1774"/>
      <c r="H4" s="1774"/>
      <c r="I4" s="1774"/>
      <c r="J4" s="1774"/>
      <c r="K4" s="1774"/>
      <c r="L4" s="83"/>
      <c r="M4" s="116" t="s">
        <v>23</v>
      </c>
      <c r="N4" s="909" t="s">
        <v>698</v>
      </c>
      <c r="O4" s="4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3"/>
      <c r="AC4" s="52"/>
      <c r="AD4" s="1884"/>
      <c r="AE4" s="1838"/>
      <c r="AF4" s="1874"/>
      <c r="AG4" s="1874"/>
      <c r="AH4" s="1874"/>
      <c r="AI4" s="1874"/>
      <c r="AJ4" s="1874"/>
      <c r="AK4" s="1874"/>
      <c r="AL4" s="1874"/>
      <c r="AM4" s="1874"/>
      <c r="AN4" s="25"/>
    </row>
    <row r="5" spans="2:41" ht="15" customHeight="1">
      <c r="B5" s="1772"/>
      <c r="C5" s="1875" t="s">
        <v>465</v>
      </c>
      <c r="D5" s="1875"/>
      <c r="E5" s="1875"/>
      <c r="F5" s="1875"/>
      <c r="G5" s="1875"/>
      <c r="H5" s="1875"/>
      <c r="I5" s="1875"/>
      <c r="J5" s="1875"/>
      <c r="K5" s="1875"/>
      <c r="L5" s="1876"/>
      <c r="M5" s="116" t="s">
        <v>23</v>
      </c>
      <c r="N5" s="909" t="s">
        <v>699</v>
      </c>
      <c r="O5" s="4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6"/>
      <c r="AD5" s="1884"/>
      <c r="AE5" s="1838"/>
      <c r="AF5"/>
      <c r="AG5"/>
      <c r="AH5"/>
      <c r="AI5"/>
      <c r="AJ5"/>
      <c r="AK5"/>
      <c r="AL5"/>
      <c r="AM5"/>
      <c r="AN5" s="25"/>
      <c r="AO5"/>
    </row>
    <row r="6" spans="2:41" ht="15" customHeight="1">
      <c r="B6" s="1772"/>
      <c r="C6" s="1875" t="s">
        <v>31</v>
      </c>
      <c r="D6" s="1875"/>
      <c r="E6" s="1875"/>
      <c r="F6" s="1875"/>
      <c r="G6" s="1875"/>
      <c r="H6" s="1875"/>
      <c r="I6" s="1875"/>
      <c r="J6" s="1875"/>
      <c r="K6" s="1875"/>
      <c r="L6" s="1876"/>
      <c r="M6" s="211" t="s">
        <v>23</v>
      </c>
      <c r="N6" s="909" t="s">
        <v>700</v>
      </c>
      <c r="O6" s="4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6"/>
      <c r="AD6" s="1884"/>
      <c r="AE6" s="1838"/>
      <c r="AF6" s="40"/>
      <c r="AG6" s="40"/>
      <c r="AH6" s="40"/>
      <c r="AI6" s="40"/>
      <c r="AJ6" s="25"/>
      <c r="AK6" s="25"/>
      <c r="AL6" s="25"/>
      <c r="AM6" s="25"/>
      <c r="AN6"/>
      <c r="AO6"/>
    </row>
    <row r="7" spans="2:41" ht="15" customHeight="1" thickBot="1">
      <c r="B7" s="1773"/>
      <c r="C7" s="51"/>
      <c r="D7" s="51"/>
      <c r="E7" s="51"/>
      <c r="F7" s="51"/>
      <c r="G7" s="51"/>
      <c r="H7" s="51"/>
      <c r="I7" s="51"/>
      <c r="J7" s="51"/>
      <c r="K7" s="51"/>
      <c r="L7" s="60"/>
      <c r="M7" s="212"/>
      <c r="N7" s="213"/>
      <c r="O7" s="213"/>
      <c r="P7" s="214"/>
      <c r="Q7" s="214"/>
      <c r="R7" s="214"/>
      <c r="S7" s="214"/>
      <c r="T7" s="214"/>
      <c r="U7" s="214"/>
      <c r="V7" s="214"/>
      <c r="W7" s="214"/>
      <c r="X7" s="214"/>
      <c r="Y7" s="214"/>
      <c r="Z7" s="214"/>
      <c r="AA7" s="214"/>
      <c r="AB7" s="214"/>
      <c r="AC7" s="215"/>
      <c r="AD7" s="1885"/>
      <c r="AE7" s="48"/>
      <c r="AF7" s="51"/>
      <c r="AG7" s="51"/>
      <c r="AH7" s="51"/>
      <c r="AI7" s="51"/>
      <c r="AJ7" s="51"/>
      <c r="AK7" s="51"/>
      <c r="AL7" s="51"/>
      <c r="AM7" s="51"/>
      <c r="AN7" s="2"/>
      <c r="AO7"/>
    </row>
    <row r="8" spans="2:41" ht="8.15" customHeight="1">
      <c r="B8" s="65"/>
      <c r="C8" s="32"/>
      <c r="D8" s="32"/>
      <c r="E8" s="32"/>
      <c r="F8" s="32"/>
      <c r="G8" s="32"/>
      <c r="H8" s="32"/>
      <c r="I8" s="32"/>
      <c r="J8" s="32"/>
      <c r="K8" s="32"/>
      <c r="L8" s="81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13"/>
      <c r="AO8"/>
    </row>
    <row r="9" spans="2:41" ht="20.15" customHeight="1">
      <c r="B9" s="911" t="s">
        <v>1195</v>
      </c>
      <c r="C9" s="66"/>
      <c r="D9" s="66"/>
      <c r="E9" s="66"/>
      <c r="F9" s="66"/>
      <c r="G9" s="62"/>
      <c r="H9" s="62"/>
      <c r="I9" s="62"/>
      <c r="J9" s="110" t="s">
        <v>26</v>
      </c>
      <c r="K9" s="1338" t="str">
        <f>taxId1</f>
        <v/>
      </c>
      <c r="L9" s="1338" t="str">
        <f>taxId2</f>
        <v/>
      </c>
      <c r="M9" s="814"/>
      <c r="N9" s="1338" t="str">
        <f>taxId3</f>
        <v/>
      </c>
      <c r="O9" s="1338" t="str">
        <f>taxId4</f>
        <v/>
      </c>
      <c r="P9" s="1338" t="str">
        <f>taxId5</f>
        <v/>
      </c>
      <c r="Q9" s="814"/>
      <c r="R9" s="1338" t="str">
        <f>taxId6</f>
        <v/>
      </c>
      <c r="S9" s="1338" t="str">
        <f>taxId7</f>
        <v/>
      </c>
      <c r="T9" s="1338" t="str">
        <f>taxId8</f>
        <v/>
      </c>
      <c r="U9" s="814"/>
      <c r="V9" s="1338" t="str">
        <f>taxId9</f>
        <v/>
      </c>
      <c r="W9" s="814"/>
      <c r="X9" s="1338" t="str">
        <f>taxId10</f>
        <v/>
      </c>
      <c r="Y9" s="1338" t="str">
        <f>taxId11</f>
        <v/>
      </c>
      <c r="Z9" s="1338" t="str">
        <f>taxId12</f>
        <v/>
      </c>
      <c r="AA9" s="814"/>
      <c r="AB9" s="1338" t="str">
        <f>taxId13</f>
        <v/>
      </c>
      <c r="AC9" s="1338" t="str">
        <f>taxId14</f>
        <v/>
      </c>
      <c r="AD9" s="1338" t="str">
        <f>taxId15</f>
        <v/>
      </c>
      <c r="AE9"/>
      <c r="AF9"/>
      <c r="AG9"/>
      <c r="AH9"/>
      <c r="AI9"/>
      <c r="AJ9"/>
      <c r="AK9"/>
      <c r="AL9"/>
      <c r="AM9"/>
      <c r="AN9" s="52"/>
      <c r="AO9"/>
    </row>
    <row r="10" spans="2:41" ht="4" customHeight="1">
      <c r="B10" s="914"/>
      <c r="C10" s="88"/>
      <c r="D10" s="88"/>
      <c r="E10" s="88"/>
      <c r="F10" s="88"/>
      <c r="G10" s="88"/>
      <c r="H10" s="88"/>
      <c r="I10" s="88"/>
      <c r="J10" s="88"/>
      <c r="K10" s="15"/>
      <c r="L10" s="79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/>
      <c r="AF10"/>
      <c r="AG10"/>
      <c r="AH10"/>
      <c r="AI10"/>
      <c r="AJ10"/>
      <c r="AK10"/>
      <c r="AL10"/>
      <c r="AM10"/>
      <c r="AN10" s="52"/>
      <c r="AO10"/>
    </row>
    <row r="11" spans="2:42" ht="20.15" customHeight="1">
      <c r="B11" s="911" t="s">
        <v>623</v>
      </c>
      <c r="C11" s="66"/>
      <c r="D11" s="66"/>
      <c r="E11" s="66"/>
      <c r="F11" s="66"/>
      <c r="G11" s="112"/>
      <c r="H11" s="112"/>
      <c r="I11" s="112"/>
      <c r="J11" s="113" t="s">
        <v>26</v>
      </c>
      <c r="K11" s="1339" t="str">
        <f>UPPER(name)</f>
        <v>0</v>
      </c>
      <c r="L11" s="1340"/>
      <c r="M11" s="1340"/>
      <c r="N11" s="1340"/>
      <c r="O11" s="1340"/>
      <c r="P11" s="1340"/>
      <c r="Q11" s="1340"/>
      <c r="R11" s="1340"/>
      <c r="S11" s="1340"/>
      <c r="T11" s="1340"/>
      <c r="U11" s="1340"/>
      <c r="V11" s="1340"/>
      <c r="W11" s="1340"/>
      <c r="X11" s="1340"/>
      <c r="Y11" s="1340"/>
      <c r="Z11" s="1340"/>
      <c r="AA11" s="1340"/>
      <c r="AB11" s="1340"/>
      <c r="AC11" s="1340"/>
      <c r="AD11" s="1340"/>
      <c r="AE11" s="1340"/>
      <c r="AF11" s="1340"/>
      <c r="AG11" s="1340"/>
      <c r="AH11" s="1340"/>
      <c r="AI11" s="1340"/>
      <c r="AJ11" s="1340"/>
      <c r="AK11" s="1340"/>
      <c r="AL11" s="1340"/>
      <c r="AM11" s="1340"/>
      <c r="AN11" s="52" t="str">
        <f>name30</f>
        <v> </v>
      </c>
      <c r="AO11" t="str">
        <f>name31</f>
        <v> </v>
      </c>
      <c r="AP11" s="2788" t="str">
        <f>name32</f>
        <v> </v>
      </c>
    </row>
    <row r="12" spans="2:41" ht="3" customHeight="1" thickBot="1">
      <c r="B12" s="80"/>
      <c r="C12" s="2"/>
      <c r="D12" s="2"/>
      <c r="E12" s="2"/>
      <c r="F12" s="2"/>
      <c r="G12" s="2"/>
      <c r="H12" s="2"/>
      <c r="I12" s="2"/>
      <c r="J12" s="2"/>
      <c r="K12" s="2"/>
      <c r="L12" s="59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14"/>
      <c r="AO12"/>
    </row>
    <row r="13" spans="2:41" customHeight="1">
      <c r="B13" s="32"/>
      <c r="C13"/>
      <c r="D13"/>
      <c r="E13"/>
      <c r="F13"/>
      <c r="G13"/>
      <c r="H13"/>
      <c r="I13"/>
      <c r="J13"/>
      <c r="K13"/>
      <c r="L13" s="22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s="32"/>
      <c r="AO13"/>
    </row>
    <row r="14" spans="2:41" customHeight="1">
      <c r="B14"/>
      <c r="C14"/>
      <c r="D14"/>
      <c r="E14"/>
      <c r="F14"/>
      <c r="G14"/>
      <c r="H14"/>
      <c r="I14"/>
      <c r="J14"/>
      <c r="K14"/>
      <c r="L14" s="22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2:40" s="39" customFormat="1" ht="15" customHeight="1">
      <c r="B15" s="916" t="s">
        <v>701</v>
      </c>
      <c r="C15" s="916"/>
      <c r="D15" s="916"/>
      <c r="E15" s="916" t="s">
        <v>26</v>
      </c>
      <c r="F15" s="916" t="s">
        <v>698</v>
      </c>
      <c r="G15" s="916"/>
      <c r="H15" s="916"/>
      <c r="I15" s="916"/>
      <c r="J15" s="916"/>
      <c r="K15" s="916"/>
      <c r="L15" s="946"/>
      <c r="M15" s="916"/>
      <c r="N15" s="916"/>
      <c r="O15" s="916"/>
      <c r="P15" s="916"/>
      <c r="Q15" s="916"/>
      <c r="R15" s="916"/>
      <c r="S15" s="916"/>
      <c r="T15" s="916"/>
      <c r="U15" s="916"/>
      <c r="V15" s="916"/>
      <c r="W15" s="916"/>
      <c r="X15" s="71"/>
      <c r="Y15" s="71"/>
      <c r="Z15" s="71"/>
      <c r="AA15" s="50"/>
      <c r="AB15" s="39"/>
      <c r="AC15" s="39"/>
      <c r="AD15" s="39"/>
      <c r="AE15" s="39"/>
      <c r="AF15" s="39"/>
      <c r="AG15" s="39"/>
      <c r="AH15" s="73"/>
      <c r="AI15" s="73"/>
      <c r="AJ15" s="73"/>
      <c r="AK15" s="73"/>
      <c r="AL15" s="73"/>
      <c r="AM15" s="73"/>
      <c r="AN15" s="39"/>
    </row>
    <row r="16" spans="2:40" ht="15" customHeight="1">
      <c r="B16" s="916"/>
      <c r="C16" s="916"/>
      <c r="D16" s="916"/>
      <c r="E16" s="916"/>
      <c r="F16" s="1016" t="s">
        <v>1203</v>
      </c>
      <c r="G16" s="916"/>
      <c r="H16" s="916"/>
      <c r="I16" s="916"/>
      <c r="J16" s="916"/>
      <c r="K16" s="916"/>
      <c r="L16" s="946"/>
      <c r="M16" s="916"/>
      <c r="N16" s="916"/>
      <c r="O16" s="916"/>
      <c r="P16" s="916"/>
      <c r="Q16" s="916"/>
      <c r="R16" s="916"/>
      <c r="S16" s="916"/>
      <c r="T16" s="916"/>
      <c r="U16" s="916"/>
      <c r="V16" s="916"/>
      <c r="W16" s="916"/>
      <c r="X16" s="71"/>
      <c r="Y16" s="71"/>
      <c r="Z16" s="71"/>
      <c r="AA16" s="50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2:40" customHeight="1"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216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 spans="2:40" ht="15" customHeight="1">
      <c r="B18" s="1877" t="s">
        <v>702</v>
      </c>
      <c r="C18" s="1879" t="s">
        <v>703</v>
      </c>
      <c r="D18" s="1292"/>
      <c r="E18" s="1292"/>
      <c r="F18" s="1292"/>
      <c r="G18" s="1292"/>
      <c r="H18" s="1292"/>
      <c r="I18" s="1292"/>
      <c r="J18" s="1292"/>
      <c r="K18" s="1292"/>
      <c r="L18" s="1292"/>
      <c r="M18" s="1292"/>
      <c r="N18" s="1292"/>
      <c r="O18" s="1292"/>
      <c r="P18" s="1292"/>
      <c r="Q18" s="1292"/>
      <c r="R18" s="1292"/>
      <c r="S18" s="1292"/>
      <c r="T18" s="1292"/>
      <c r="U18" s="1292"/>
      <c r="V18" s="1292"/>
      <c r="W18" s="1292"/>
      <c r="X18" s="1292"/>
      <c r="Y18" s="1292"/>
      <c r="Z18" s="1292"/>
      <c r="AA18" s="1880"/>
      <c r="AB18" s="1292" t="s">
        <v>704</v>
      </c>
      <c r="AC18" s="1292"/>
      <c r="AD18" s="1292"/>
      <c r="AE18" s="1292"/>
      <c r="AF18" s="1292"/>
      <c r="AG18" s="1292"/>
      <c r="AH18" s="1292"/>
      <c r="AI18" s="1292"/>
      <c r="AJ18" s="1292"/>
      <c r="AK18" s="1292"/>
      <c r="AL18" s="1292"/>
      <c r="AM18" s="1292"/>
      <c r="AN18" s="1880"/>
    </row>
    <row r="19" spans="2:40" ht="15" customHeight="1">
      <c r="B19" s="1878"/>
      <c r="C19" s="1004"/>
      <c r="D19" s="982"/>
      <c r="E19" s="982"/>
      <c r="F19" s="982"/>
      <c r="G19" s="982"/>
      <c r="H19" s="982"/>
      <c r="I19" s="982"/>
      <c r="J19" s="982"/>
      <c r="K19" s="982"/>
      <c r="L19" s="982"/>
      <c r="M19" s="982"/>
      <c r="N19" s="982"/>
      <c r="O19" s="982"/>
      <c r="P19" s="982"/>
      <c r="Q19" s="982"/>
      <c r="R19" s="982"/>
      <c r="S19" s="982"/>
      <c r="T19" s="982"/>
      <c r="U19" s="982"/>
      <c r="V19" s="982"/>
      <c r="W19" s="982"/>
      <c r="X19" s="982"/>
      <c r="Y19" s="982"/>
      <c r="Z19" s="982"/>
      <c r="AA19" s="1881"/>
      <c r="AB19" s="982" t="s">
        <v>705</v>
      </c>
      <c r="AC19" s="982"/>
      <c r="AD19" s="982"/>
      <c r="AE19" s="982"/>
      <c r="AF19" s="982"/>
      <c r="AG19" s="982"/>
      <c r="AH19" s="982"/>
      <c r="AI19" s="982"/>
      <c r="AJ19" s="982"/>
      <c r="AK19" s="982"/>
      <c r="AL19" s="982"/>
      <c r="AM19" s="982"/>
      <c r="AN19" s="1881"/>
    </row>
    <row r="20" spans="2:40" ht="15" customHeight="1">
      <c r="B20" s="145" t="s">
        <v>65</v>
      </c>
      <c r="C20" s="145" t="s">
        <v>64</v>
      </c>
      <c r="D20" s="1861"/>
      <c r="E20" s="1861"/>
      <c r="F20" s="1861"/>
      <c r="G20" s="1861"/>
      <c r="H20" s="1861"/>
      <c r="I20" s="1861"/>
      <c r="J20" s="1861"/>
      <c r="K20" s="1861"/>
      <c r="L20" s="1861"/>
      <c r="M20" s="1861"/>
      <c r="N20" s="1861"/>
      <c r="O20" s="1861"/>
      <c r="P20" s="1861"/>
      <c r="Q20" s="1861"/>
      <c r="R20" s="1861"/>
      <c r="S20" s="1861"/>
      <c r="T20" s="1861"/>
      <c r="U20" s="1861"/>
      <c r="V20" s="1861"/>
      <c r="W20" s="1861"/>
      <c r="X20" s="1861"/>
      <c r="Y20" s="1861"/>
      <c r="Z20" s="1861"/>
      <c r="AA20" s="1862"/>
      <c r="AB20" s="1861" t="s">
        <v>66</v>
      </c>
      <c r="AC20" s="1861"/>
      <c r="AD20" s="1861"/>
      <c r="AE20" s="1861"/>
      <c r="AF20" s="1861"/>
      <c r="AG20" s="1861"/>
      <c r="AH20" s="1861"/>
      <c r="AI20" s="1861"/>
      <c r="AJ20" s="1861"/>
      <c r="AK20" s="1861"/>
      <c r="AL20" s="1861"/>
      <c r="AM20" s="1861"/>
      <c r="AN20" s="1862"/>
    </row>
    <row r="21" spans="1:41" s="39" customFormat="1" ht="15" customHeight="1">
      <c r="A21" s="4"/>
      <c r="B21" s="142" t="s">
        <v>386</v>
      </c>
      <c r="C21" s="1863" t="s">
        <v>706</v>
      </c>
      <c r="D21" s="1864"/>
      <c r="E21" s="1864"/>
      <c r="F21" s="1864"/>
      <c r="G21" s="1864"/>
      <c r="H21" s="1864"/>
      <c r="I21" s="1864"/>
      <c r="J21" s="1864"/>
      <c r="K21" s="1864"/>
      <c r="L21" s="1864"/>
      <c r="M21" s="1864"/>
      <c r="N21" s="1864"/>
      <c r="O21" s="1864"/>
      <c r="P21" s="1864"/>
      <c r="Q21" s="1864"/>
      <c r="R21" s="1864"/>
      <c r="S21" s="1864"/>
      <c r="T21" s="1864"/>
      <c r="U21" s="1864"/>
      <c r="V21" s="1864"/>
      <c r="W21" s="1864"/>
      <c r="X21" s="1864"/>
      <c r="Y21" s="1864"/>
      <c r="Z21" s="1864"/>
      <c r="AA21" s="1865"/>
      <c r="AB21" s="1869">
        <f>'GENERAL INFO'!V156</f>
        <v>0</v>
      </c>
      <c r="AC21" s="1870"/>
      <c r="AD21" s="1870"/>
      <c r="AE21" s="1870"/>
      <c r="AF21" s="1870"/>
      <c r="AG21" s="1870"/>
      <c r="AH21" s="1870"/>
      <c r="AI21" s="1870"/>
      <c r="AJ21" s="1870"/>
      <c r="AK21" s="1870"/>
      <c r="AL21" s="1870"/>
      <c r="AM21" s="1870"/>
      <c r="AN21" s="262"/>
      <c r="AO21" s="39"/>
    </row>
    <row r="22" spans="1:41" s="39" customFormat="1" ht="15" customHeight="1">
      <c r="A22" s="4"/>
      <c r="B22" s="1293"/>
      <c r="C22" s="1866"/>
      <c r="D22" s="1867"/>
      <c r="E22" s="1867"/>
      <c r="F22" s="1867"/>
      <c r="G22" s="1867"/>
      <c r="H22" s="1867"/>
      <c r="I22" s="1867"/>
      <c r="J22" s="1867"/>
      <c r="K22" s="1867"/>
      <c r="L22" s="1867"/>
      <c r="M22" s="1867"/>
      <c r="N22" s="1867"/>
      <c r="O22" s="1867"/>
      <c r="P22" s="1867"/>
      <c r="Q22" s="1867"/>
      <c r="R22" s="1867"/>
      <c r="S22" s="1867"/>
      <c r="T22" s="1867"/>
      <c r="U22" s="1867"/>
      <c r="V22" s="1867"/>
      <c r="W22" s="1867"/>
      <c r="X22" s="1867"/>
      <c r="Y22" s="1867"/>
      <c r="Z22" s="1867"/>
      <c r="AA22" s="1868"/>
      <c r="AB22" s="377"/>
      <c r="AC22" s="1871"/>
      <c r="AD22" s="1871"/>
      <c r="AE22" s="1871"/>
      <c r="AF22" s="1871"/>
      <c r="AG22" s="1871"/>
      <c r="AH22" s="1871"/>
      <c r="AI22" s="1871"/>
      <c r="AJ22" s="1871"/>
      <c r="AK22" s="1871"/>
      <c r="AL22" s="1871"/>
      <c r="AM22" s="1871"/>
      <c r="AN22" s="261"/>
      <c r="AO22" s="39"/>
    </row>
    <row r="23" spans="1:41" s="39" customFormat="1" ht="3" customHeight="1">
      <c r="A23" s="4"/>
      <c r="B23" s="141"/>
      <c r="C23" s="952"/>
      <c r="D23" s="912"/>
      <c r="E23" s="912"/>
      <c r="F23" s="912"/>
      <c r="G23" s="912"/>
      <c r="H23" s="912"/>
      <c r="I23" s="912"/>
      <c r="J23" s="912"/>
      <c r="K23" s="912"/>
      <c r="L23" s="982"/>
      <c r="M23" s="912"/>
      <c r="N23" s="912"/>
      <c r="O23" s="915"/>
      <c r="P23" s="915"/>
      <c r="Q23" s="915"/>
      <c r="R23" s="915"/>
      <c r="S23" s="915"/>
      <c r="T23" s="915"/>
      <c r="U23" s="915"/>
      <c r="V23" s="915"/>
      <c r="W23" s="915"/>
      <c r="X23" s="915"/>
      <c r="Y23" s="915"/>
      <c r="Z23" s="915"/>
      <c r="AA23" s="923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235"/>
      <c r="AO23" s="39"/>
    </row>
    <row r="24" spans="1:41" s="39" customFormat="1" ht="15" customHeight="1">
      <c r="A24" s="4"/>
      <c r="B24" s="141" t="s">
        <v>387</v>
      </c>
      <c r="C24" s="1872" t="s">
        <v>707</v>
      </c>
      <c r="D24" s="983"/>
      <c r="E24" s="983"/>
      <c r="F24" s="983"/>
      <c r="G24" s="983"/>
      <c r="H24" s="983"/>
      <c r="I24" s="983"/>
      <c r="J24" s="983"/>
      <c r="K24" s="983"/>
      <c r="L24" s="983"/>
      <c r="M24" s="983"/>
      <c r="N24" s="983"/>
      <c r="O24" s="983"/>
      <c r="P24" s="983"/>
      <c r="Q24" s="983"/>
      <c r="R24" s="983"/>
      <c r="S24" s="983"/>
      <c r="T24" s="983"/>
      <c r="U24" s="983"/>
      <c r="V24" s="983"/>
      <c r="W24" s="983"/>
      <c r="X24" s="983"/>
      <c r="Y24" s="983"/>
      <c r="Z24" s="983"/>
      <c r="AA24" s="1377"/>
      <c r="AB24" s="376">
        <f>'GENERAL INFO'!V157</f>
        <v>0</v>
      </c>
      <c r="AC24" s="246"/>
      <c r="AD24" s="246"/>
      <c r="AE24" s="246"/>
      <c r="AF24" s="246"/>
      <c r="AG24" s="246"/>
      <c r="AH24" s="246"/>
      <c r="AI24" s="246"/>
      <c r="AJ24" s="246"/>
      <c r="AK24" s="246"/>
      <c r="AL24" s="246"/>
      <c r="AM24" s="246"/>
      <c r="AN24" s="258"/>
      <c r="AO24" s="39"/>
    </row>
    <row r="25" spans="1:41" s="39" customFormat="1" ht="15" customHeight="1">
      <c r="A25" s="4"/>
      <c r="B25" s="1293"/>
      <c r="C25" s="1866"/>
      <c r="D25" s="1867"/>
      <c r="E25" s="1867"/>
      <c r="F25" s="1867"/>
      <c r="G25" s="1867"/>
      <c r="H25" s="1867"/>
      <c r="I25" s="1867"/>
      <c r="J25" s="1867"/>
      <c r="K25" s="1867"/>
      <c r="L25" s="1867"/>
      <c r="M25" s="1867"/>
      <c r="N25" s="1867"/>
      <c r="O25" s="1867"/>
      <c r="P25" s="1867"/>
      <c r="Q25" s="1867"/>
      <c r="R25" s="1867"/>
      <c r="S25" s="1867"/>
      <c r="T25" s="1867"/>
      <c r="U25" s="1867"/>
      <c r="V25" s="1867"/>
      <c r="W25" s="1867"/>
      <c r="X25" s="1867"/>
      <c r="Y25" s="1867"/>
      <c r="Z25" s="1867"/>
      <c r="AA25" s="1868"/>
      <c r="AB25" s="377"/>
      <c r="AC25" s="1871"/>
      <c r="AD25" s="1871"/>
      <c r="AE25" s="1871"/>
      <c r="AF25" s="1871"/>
      <c r="AG25" s="1871"/>
      <c r="AH25" s="1871"/>
      <c r="AI25" s="1871"/>
      <c r="AJ25" s="1871"/>
      <c r="AK25" s="1871"/>
      <c r="AL25" s="1871"/>
      <c r="AM25" s="1871"/>
      <c r="AN25" s="261"/>
      <c r="AO25" s="39"/>
    </row>
    <row r="26" spans="1:41" s="39" customFormat="1" ht="3" customHeight="1">
      <c r="A26" s="4"/>
      <c r="B26" s="141"/>
      <c r="C26" s="952"/>
      <c r="D26" s="912"/>
      <c r="E26" s="912"/>
      <c r="F26" s="912"/>
      <c r="G26" s="912"/>
      <c r="H26" s="912"/>
      <c r="I26" s="912"/>
      <c r="J26" s="912"/>
      <c r="K26" s="912"/>
      <c r="L26" s="982"/>
      <c r="M26" s="912"/>
      <c r="N26" s="912"/>
      <c r="O26" s="915"/>
      <c r="P26" s="915"/>
      <c r="Q26" s="915"/>
      <c r="R26" s="915"/>
      <c r="S26" s="915"/>
      <c r="T26" s="915"/>
      <c r="U26" s="915"/>
      <c r="V26" s="915"/>
      <c r="W26" s="915"/>
      <c r="X26" s="915"/>
      <c r="Y26" s="915"/>
      <c r="Z26" s="915"/>
      <c r="AA26" s="923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235"/>
      <c r="AO26" s="39"/>
    </row>
    <row r="27" spans="1:41" s="39" customFormat="1" ht="15" customHeight="1">
      <c r="A27" s="4"/>
      <c r="B27" s="141" t="s">
        <v>388</v>
      </c>
      <c r="C27" s="1872" t="s">
        <v>708</v>
      </c>
      <c r="D27" s="983"/>
      <c r="E27" s="983"/>
      <c r="F27" s="983"/>
      <c r="G27" s="983"/>
      <c r="H27" s="983"/>
      <c r="I27" s="983"/>
      <c r="J27" s="983"/>
      <c r="K27" s="983"/>
      <c r="L27" s="983"/>
      <c r="M27" s="983"/>
      <c r="N27" s="983"/>
      <c r="O27" s="983"/>
      <c r="P27" s="983"/>
      <c r="Q27" s="983"/>
      <c r="R27" s="983"/>
      <c r="S27" s="983"/>
      <c r="T27" s="983"/>
      <c r="U27" s="983"/>
      <c r="V27" s="983"/>
      <c r="W27" s="983"/>
      <c r="X27" s="983"/>
      <c r="Y27" s="983"/>
      <c r="Z27" s="983"/>
      <c r="AA27" s="1377"/>
      <c r="AB27" s="376">
        <f>'GENERAL INFO'!V158</f>
        <v>0</v>
      </c>
      <c r="AC27" s="246"/>
      <c r="AD27" s="246"/>
      <c r="AE27" s="246"/>
      <c r="AF27" s="246"/>
      <c r="AG27" s="246"/>
      <c r="AH27" s="246"/>
      <c r="AI27" s="246"/>
      <c r="AJ27" s="246"/>
      <c r="AK27" s="246"/>
      <c r="AL27" s="246"/>
      <c r="AM27" s="246"/>
      <c r="AN27" s="258"/>
      <c r="AO27" s="39"/>
    </row>
    <row r="28" spans="1:41" s="39" customFormat="1" ht="15" customHeight="1">
      <c r="A28" s="4"/>
      <c r="B28" s="1293"/>
      <c r="C28" s="1866"/>
      <c r="D28" s="1867"/>
      <c r="E28" s="1867"/>
      <c r="F28" s="1867"/>
      <c r="G28" s="1867"/>
      <c r="H28" s="1867"/>
      <c r="I28" s="1867"/>
      <c r="J28" s="1867"/>
      <c r="K28" s="1867"/>
      <c r="L28" s="1867"/>
      <c r="M28" s="1867"/>
      <c r="N28" s="1867"/>
      <c r="O28" s="1867"/>
      <c r="P28" s="1867"/>
      <c r="Q28" s="1867"/>
      <c r="R28" s="1867"/>
      <c r="S28" s="1867"/>
      <c r="T28" s="1867"/>
      <c r="U28" s="1867"/>
      <c r="V28" s="1867"/>
      <c r="W28" s="1867"/>
      <c r="X28" s="1867"/>
      <c r="Y28" s="1867"/>
      <c r="Z28" s="1867"/>
      <c r="AA28" s="1868"/>
      <c r="AB28" s="377"/>
      <c r="AC28" s="1871"/>
      <c r="AD28" s="1871"/>
      <c r="AE28" s="1871"/>
      <c r="AF28" s="1871"/>
      <c r="AG28" s="1871"/>
      <c r="AH28" s="1871"/>
      <c r="AI28" s="1871"/>
      <c r="AJ28" s="1871"/>
      <c r="AK28" s="1871"/>
      <c r="AL28" s="1871"/>
      <c r="AM28" s="1871"/>
      <c r="AN28" s="261"/>
      <c r="AO28" s="39"/>
    </row>
    <row r="29" spans="1:41" s="39" customFormat="1" ht="3" customHeight="1">
      <c r="A29" s="4"/>
      <c r="B29" s="141"/>
      <c r="C29" s="952"/>
      <c r="D29" s="912"/>
      <c r="E29" s="912"/>
      <c r="F29" s="912"/>
      <c r="G29" s="912"/>
      <c r="H29" s="912"/>
      <c r="I29" s="912"/>
      <c r="J29" s="912"/>
      <c r="K29" s="912"/>
      <c r="L29" s="982"/>
      <c r="M29" s="912"/>
      <c r="N29" s="912"/>
      <c r="O29" s="915"/>
      <c r="P29" s="915"/>
      <c r="Q29" s="915"/>
      <c r="R29" s="915"/>
      <c r="S29" s="915"/>
      <c r="T29" s="915"/>
      <c r="U29" s="915"/>
      <c r="V29" s="915"/>
      <c r="W29" s="915"/>
      <c r="X29" s="915"/>
      <c r="Y29" s="915"/>
      <c r="Z29" s="915"/>
      <c r="AA29" s="923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235"/>
      <c r="AO29" s="39"/>
    </row>
    <row r="30" spans="1:41" s="39" customFormat="1" ht="15" customHeight="1">
      <c r="A30" s="4"/>
      <c r="B30" s="141" t="s">
        <v>389</v>
      </c>
      <c r="C30" s="1894" t="s">
        <v>709</v>
      </c>
      <c r="D30" s="983"/>
      <c r="E30" s="983"/>
      <c r="F30" s="983"/>
      <c r="G30" s="983"/>
      <c r="H30" s="983"/>
      <c r="I30" s="983"/>
      <c r="J30" s="983"/>
      <c r="K30" s="983"/>
      <c r="L30" s="983"/>
      <c r="M30" s="983"/>
      <c r="N30" s="983"/>
      <c r="O30" s="983"/>
      <c r="P30" s="983"/>
      <c r="Q30" s="983"/>
      <c r="R30" s="983"/>
      <c r="S30" s="983"/>
      <c r="T30" s="983"/>
      <c r="U30" s="983"/>
      <c r="V30" s="983"/>
      <c r="W30" s="983"/>
      <c r="X30" s="983"/>
      <c r="Y30" s="983"/>
      <c r="Z30" s="983"/>
      <c r="AA30" s="1377"/>
      <c r="AB30" s="376">
        <f>'GENERAL INFO'!V159</f>
        <v>0</v>
      </c>
      <c r="AC30" s="246"/>
      <c r="AD30" s="246"/>
      <c r="AE30" s="246"/>
      <c r="AF30" s="246"/>
      <c r="AG30" s="246"/>
      <c r="AH30" s="246"/>
      <c r="AI30" s="246"/>
      <c r="AJ30" s="246"/>
      <c r="AK30" s="246"/>
      <c r="AL30" s="246"/>
      <c r="AM30" s="246"/>
      <c r="AN30" s="258"/>
      <c r="AO30" s="39"/>
    </row>
    <row r="31" spans="1:41" s="39" customFormat="1" ht="15" customHeight="1">
      <c r="A31" s="4"/>
      <c r="B31" s="1293"/>
      <c r="C31" s="1866"/>
      <c r="D31" s="1867"/>
      <c r="E31" s="1867"/>
      <c r="F31" s="1867"/>
      <c r="G31" s="1867"/>
      <c r="H31" s="1867"/>
      <c r="I31" s="1867"/>
      <c r="J31" s="1867"/>
      <c r="K31" s="1867"/>
      <c r="L31" s="1867"/>
      <c r="M31" s="1867"/>
      <c r="N31" s="1867"/>
      <c r="O31" s="1867"/>
      <c r="P31" s="1867"/>
      <c r="Q31" s="1867"/>
      <c r="R31" s="1867"/>
      <c r="S31" s="1867"/>
      <c r="T31" s="1867"/>
      <c r="U31" s="1867"/>
      <c r="V31" s="1867"/>
      <c r="W31" s="1867"/>
      <c r="X31" s="1867"/>
      <c r="Y31" s="1867"/>
      <c r="Z31" s="1867"/>
      <c r="AA31" s="1868"/>
      <c r="AB31" s="377"/>
      <c r="AC31" s="1871"/>
      <c r="AD31" s="1871"/>
      <c r="AE31" s="1871"/>
      <c r="AF31" s="1871"/>
      <c r="AG31" s="1871"/>
      <c r="AH31" s="1871"/>
      <c r="AI31" s="1871"/>
      <c r="AJ31" s="1871"/>
      <c r="AK31" s="1871"/>
      <c r="AL31" s="1871"/>
      <c r="AM31" s="1871"/>
      <c r="AN31" s="261"/>
      <c r="AO31" s="39"/>
    </row>
    <row r="32" spans="1:41" s="39" customFormat="1" ht="3" customHeight="1">
      <c r="A32" s="4"/>
      <c r="B32" s="142"/>
      <c r="C32" s="1890" t="s">
        <v>1199</v>
      </c>
      <c r="D32" s="1864"/>
      <c r="E32" s="1864"/>
      <c r="F32" s="1864"/>
      <c r="G32" s="1864"/>
      <c r="H32" s="1864"/>
      <c r="I32" s="1864"/>
      <c r="J32" s="1864"/>
      <c r="K32" s="1864"/>
      <c r="L32" s="1864"/>
      <c r="M32" s="1864"/>
      <c r="N32" s="1864"/>
      <c r="O32" s="1864"/>
      <c r="P32" s="1864"/>
      <c r="Q32" s="1864"/>
      <c r="R32" s="1864"/>
      <c r="S32" s="1864"/>
      <c r="T32" s="1864"/>
      <c r="U32" s="1864"/>
      <c r="V32" s="1864"/>
      <c r="W32" s="1864"/>
      <c r="X32" s="1864"/>
      <c r="Y32" s="1864"/>
      <c r="Z32" s="1864"/>
      <c r="AA32" s="1865"/>
      <c r="AB32" s="634"/>
      <c r="AC32" s="634"/>
      <c r="AD32" s="634"/>
      <c r="AE32" s="634"/>
      <c r="AF32" s="634"/>
      <c r="AG32" s="634"/>
      <c r="AH32" s="634"/>
      <c r="AI32" s="634"/>
      <c r="AJ32" s="634"/>
      <c r="AK32" s="634"/>
      <c r="AL32" s="634"/>
      <c r="AM32" s="634"/>
      <c r="AN32" s="239"/>
      <c r="AO32" s="39"/>
    </row>
    <row r="33" spans="1:41" s="39" customFormat="1" ht="15" customHeight="1">
      <c r="A33" s="4"/>
      <c r="B33" s="141" t="s">
        <v>390</v>
      </c>
      <c r="C33" s="1872"/>
      <c r="D33" s="983"/>
      <c r="E33" s="983"/>
      <c r="F33" s="983"/>
      <c r="G33" s="983"/>
      <c r="H33" s="983"/>
      <c r="I33" s="983"/>
      <c r="J33" s="983"/>
      <c r="K33" s="983"/>
      <c r="L33" s="983"/>
      <c r="M33" s="983"/>
      <c r="N33" s="983"/>
      <c r="O33" s="983"/>
      <c r="P33" s="983"/>
      <c r="Q33" s="983"/>
      <c r="R33" s="983"/>
      <c r="S33" s="983"/>
      <c r="T33" s="983"/>
      <c r="U33" s="983"/>
      <c r="V33" s="983"/>
      <c r="W33" s="983"/>
      <c r="X33" s="983"/>
      <c r="Y33" s="983"/>
      <c r="Z33" s="983"/>
      <c r="AA33" s="1377"/>
      <c r="AB33" s="376">
        <f>'GENERAL INFO'!V160</f>
        <v>0</v>
      </c>
      <c r="AC33" s="246"/>
      <c r="AD33" s="246"/>
      <c r="AE33" s="246"/>
      <c r="AF33" s="246"/>
      <c r="AG33" s="246"/>
      <c r="AH33" s="246"/>
      <c r="AI33" s="246"/>
      <c r="AJ33" s="246"/>
      <c r="AK33" s="246"/>
      <c r="AL33" s="246"/>
      <c r="AM33" s="246"/>
      <c r="AN33" s="258"/>
      <c r="AO33" s="39"/>
    </row>
    <row r="34" spans="1:41" s="39" customFormat="1" ht="15" customHeight="1">
      <c r="A34" s="4"/>
      <c r="B34" s="1293"/>
      <c r="C34" s="1866"/>
      <c r="D34" s="1867"/>
      <c r="E34" s="1867"/>
      <c r="F34" s="1867"/>
      <c r="G34" s="1867"/>
      <c r="H34" s="1867"/>
      <c r="I34" s="1867"/>
      <c r="J34" s="1867"/>
      <c r="K34" s="1867"/>
      <c r="L34" s="1867"/>
      <c r="M34" s="1867"/>
      <c r="N34" s="1867"/>
      <c r="O34" s="1867"/>
      <c r="P34" s="1867"/>
      <c r="Q34" s="1867"/>
      <c r="R34" s="1867"/>
      <c r="S34" s="1867"/>
      <c r="T34" s="1867"/>
      <c r="U34" s="1867"/>
      <c r="V34" s="1867"/>
      <c r="W34" s="1867"/>
      <c r="X34" s="1867"/>
      <c r="Y34" s="1867"/>
      <c r="Z34" s="1867"/>
      <c r="AA34" s="1868"/>
      <c r="AB34" s="377"/>
      <c r="AC34" s="1871"/>
      <c r="AD34" s="1871"/>
      <c r="AE34" s="1871"/>
      <c r="AF34" s="1871"/>
      <c r="AG34" s="1871"/>
      <c r="AH34" s="1871"/>
      <c r="AI34" s="1871"/>
      <c r="AJ34" s="1871"/>
      <c r="AK34" s="1871"/>
      <c r="AL34" s="1871"/>
      <c r="AM34" s="1871"/>
      <c r="AN34" s="261"/>
      <c r="AO34" s="39"/>
    </row>
    <row r="35" spans="1:41" s="39" customFormat="1" ht="3" customHeight="1">
      <c r="A35" s="4"/>
      <c r="B35" s="141"/>
      <c r="C35" s="952"/>
      <c r="D35" s="912"/>
      <c r="E35" s="912"/>
      <c r="F35" s="912"/>
      <c r="G35" s="912"/>
      <c r="H35" s="912"/>
      <c r="I35" s="912"/>
      <c r="J35" s="912"/>
      <c r="K35" s="912"/>
      <c r="L35" s="982"/>
      <c r="M35" s="912"/>
      <c r="N35" s="912"/>
      <c r="O35" s="915"/>
      <c r="P35" s="915"/>
      <c r="Q35" s="915"/>
      <c r="R35" s="915"/>
      <c r="S35" s="915"/>
      <c r="T35" s="915"/>
      <c r="U35" s="915"/>
      <c r="V35" s="915"/>
      <c r="W35" s="915"/>
      <c r="X35" s="915"/>
      <c r="Y35" s="915"/>
      <c r="Z35" s="915"/>
      <c r="AA35" s="923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235"/>
      <c r="AO35" s="39"/>
    </row>
    <row r="36" spans="1:41" s="39" customFormat="1" ht="15" customHeight="1">
      <c r="A36" s="4"/>
      <c r="B36" s="141" t="s">
        <v>391</v>
      </c>
      <c r="C36" s="1872" t="s">
        <v>710</v>
      </c>
      <c r="D36" s="983"/>
      <c r="E36" s="983"/>
      <c r="F36" s="983"/>
      <c r="G36" s="983"/>
      <c r="H36" s="983"/>
      <c r="I36" s="983"/>
      <c r="J36" s="983"/>
      <c r="K36" s="983"/>
      <c r="L36" s="983"/>
      <c r="M36" s="983"/>
      <c r="N36" s="983"/>
      <c r="O36" s="983"/>
      <c r="P36" s="983"/>
      <c r="Q36" s="983"/>
      <c r="R36" s="983"/>
      <c r="S36" s="983"/>
      <c r="T36" s="983"/>
      <c r="U36" s="983"/>
      <c r="V36" s="983"/>
      <c r="W36" s="983"/>
      <c r="X36" s="983"/>
      <c r="Y36" s="983"/>
      <c r="Z36" s="983"/>
      <c r="AA36" s="1377"/>
      <c r="AB36" s="376">
        <f>'GENERAL INFO'!V161</f>
        <v>0</v>
      </c>
      <c r="AC36" s="246"/>
      <c r="AD36" s="246"/>
      <c r="AE36" s="246"/>
      <c r="AF36" s="246"/>
      <c r="AG36" s="246"/>
      <c r="AH36" s="246"/>
      <c r="AI36" s="246"/>
      <c r="AJ36" s="246"/>
      <c r="AK36" s="246"/>
      <c r="AL36" s="246"/>
      <c r="AM36" s="246"/>
      <c r="AN36" s="258"/>
      <c r="AO36" s="39"/>
    </row>
    <row r="37" spans="1:41" s="39" customFormat="1" ht="15" customHeight="1">
      <c r="A37" s="4"/>
      <c r="B37" s="757"/>
      <c r="C37" s="1872"/>
      <c r="D37" s="983"/>
      <c r="E37" s="983"/>
      <c r="F37" s="983"/>
      <c r="G37" s="983"/>
      <c r="H37" s="983"/>
      <c r="I37" s="984"/>
      <c r="J37" s="984"/>
      <c r="K37" s="984"/>
      <c r="L37" s="984"/>
      <c r="M37" s="984"/>
      <c r="N37" s="984"/>
      <c r="O37" s="984"/>
      <c r="P37" s="984"/>
      <c r="Q37" s="984"/>
      <c r="R37" s="984"/>
      <c r="S37" s="984"/>
      <c r="T37" s="984"/>
      <c r="U37" s="984"/>
      <c r="V37" s="984"/>
      <c r="W37" s="984"/>
      <c r="X37" s="984"/>
      <c r="Y37" s="984"/>
      <c r="Z37" s="984"/>
      <c r="AA37" s="1891"/>
      <c r="AB37" s="1892"/>
      <c r="AC37" s="1893"/>
      <c r="AD37" s="1893"/>
      <c r="AE37" s="1893"/>
      <c r="AF37" s="1893"/>
      <c r="AG37" s="1893"/>
      <c r="AH37" s="1893"/>
      <c r="AI37" s="1893"/>
      <c r="AJ37" s="1893"/>
      <c r="AK37" s="1893"/>
      <c r="AL37" s="1893"/>
      <c r="AM37" s="1893"/>
      <c r="AN37" s="259"/>
      <c r="AO37" s="39"/>
    </row>
    <row r="38" spans="1:41" s="39" customFormat="1" ht="3" customHeight="1">
      <c r="A38" s="4"/>
      <c r="B38" s="146"/>
      <c r="C38" s="147"/>
      <c r="D38" s="148"/>
      <c r="E38" s="148"/>
      <c r="F38" s="148"/>
      <c r="G38" s="148"/>
      <c r="H38" s="148"/>
      <c r="I38" s="148"/>
      <c r="J38" s="148"/>
      <c r="K38" s="148"/>
      <c r="L38" s="149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2" t="s">
        <v>711</v>
      </c>
      <c r="AA38" s="1895"/>
      <c r="AB38" s="1869">
        <f>SUM(AB21:AM37)</f>
        <v>0</v>
      </c>
      <c r="AC38" s="1870"/>
      <c r="AD38" s="1870"/>
      <c r="AE38" s="1870"/>
      <c r="AF38" s="1870"/>
      <c r="AG38" s="1870"/>
      <c r="AH38" s="1870"/>
      <c r="AI38" s="1870"/>
      <c r="AJ38" s="1870"/>
      <c r="AK38" s="1870"/>
      <c r="AL38" s="1870"/>
      <c r="AM38" s="1870"/>
      <c r="AN38" s="262"/>
      <c r="AO38" s="39"/>
    </row>
    <row r="39" spans="1:41" s="39" customFormat="1" ht="9" customHeight="1">
      <c r="A39" s="4"/>
      <c r="B39" s="141"/>
      <c r="C39" s="1004" t="s">
        <v>712</v>
      </c>
      <c r="D39" s="982"/>
      <c r="E39" s="982"/>
      <c r="F39" s="982"/>
      <c r="G39" s="982"/>
      <c r="H39" s="982"/>
      <c r="I39" s="982"/>
      <c r="J39" s="982"/>
      <c r="K39" s="982"/>
      <c r="L39" s="982"/>
      <c r="M39" s="982"/>
      <c r="N39" s="982"/>
      <c r="O39" s="982"/>
      <c r="P39" s="982"/>
      <c r="Q39" s="982"/>
      <c r="R39" s="982"/>
      <c r="S39" s="982"/>
      <c r="T39" s="982"/>
      <c r="U39" s="982"/>
      <c r="V39" s="982"/>
      <c r="W39" s="982"/>
      <c r="X39" s="982"/>
      <c r="Y39" s="1881"/>
      <c r="Z39" s="141"/>
      <c r="AA39" s="297"/>
      <c r="AB39" s="376">
        <f>SUM(AB21:AM37)</f>
        <v>0</v>
      </c>
      <c r="AC39" s="246"/>
      <c r="AD39" s="246"/>
      <c r="AE39" s="246"/>
      <c r="AF39" s="246"/>
      <c r="AG39" s="246"/>
      <c r="AH39" s="246"/>
      <c r="AI39" s="246"/>
      <c r="AJ39" s="246"/>
      <c r="AK39" s="246"/>
      <c r="AL39" s="246"/>
      <c r="AM39" s="246"/>
      <c r="AN39" s="258"/>
      <c r="AO39" s="39"/>
    </row>
    <row r="40" spans="1:41" s="39" customFormat="1" ht="15" customHeight="1">
      <c r="A40" s="4"/>
      <c r="B40" s="1293"/>
      <c r="C40" s="1897"/>
      <c r="D40" s="1898"/>
      <c r="E40" s="1898"/>
      <c r="F40" s="1898"/>
      <c r="G40" s="1898"/>
      <c r="H40" s="1898"/>
      <c r="I40" s="1898"/>
      <c r="J40" s="1898"/>
      <c r="K40" s="1898"/>
      <c r="L40" s="1898"/>
      <c r="M40" s="1898"/>
      <c r="N40" s="1898"/>
      <c r="O40" s="1898"/>
      <c r="P40" s="1898"/>
      <c r="Q40" s="1898"/>
      <c r="R40" s="1898"/>
      <c r="S40" s="1898"/>
      <c r="T40" s="1898"/>
      <c r="U40" s="1898"/>
      <c r="V40" s="1898"/>
      <c r="W40" s="1898"/>
      <c r="X40" s="1898"/>
      <c r="Y40" s="1899"/>
      <c r="Z40" s="1293"/>
      <c r="AA40" s="1896"/>
      <c r="AB40" s="377"/>
      <c r="AC40" s="1871"/>
      <c r="AD40" s="1871"/>
      <c r="AE40" s="1871"/>
      <c r="AF40" s="1871"/>
      <c r="AG40" s="1871"/>
      <c r="AH40" s="1871"/>
      <c r="AI40" s="1871"/>
      <c r="AJ40" s="1871"/>
      <c r="AK40" s="1871"/>
      <c r="AL40" s="1871"/>
      <c r="AM40" s="1871"/>
      <c r="AN40" s="261"/>
      <c r="AO40" s="39"/>
    </row>
    <row r="41" spans="1:41" s="39" customFormat="1" ht="3" customHeight="1">
      <c r="A41" s="4"/>
      <c r="B41" s="133"/>
      <c r="C41" s="11"/>
      <c r="D41" s="11"/>
      <c r="E41" s="11"/>
      <c r="F41" s="11"/>
      <c r="G41" s="11"/>
      <c r="H41" s="11"/>
      <c r="I41" s="11"/>
      <c r="J41" s="11"/>
      <c r="K41" s="11"/>
      <c r="L41" s="17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86"/>
      <c r="AO41" s="4"/>
    </row>
    <row r="42" spans="1:46" s="39" customFormat="1" ht="11.25" customHeight="1">
      <c r="A42" s="4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7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33" t="s">
        <v>713</v>
      </c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5"/>
      <c r="AP42" s="5"/>
      <c r="AQ42" s="5"/>
      <c r="AR42" s="5"/>
      <c r="AS42" s="5"/>
      <c r="AT42" s="5"/>
    </row>
    <row r="43" spans="1:41" s="39" customFormat="1" customHeight="1">
      <c r="A43" s="4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7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4"/>
    </row>
    <row r="44" spans="1:41" ht="15" customHeight="1">
      <c r="A44" s="4"/>
      <c r="B44" s="71" t="s">
        <v>714</v>
      </c>
      <c r="C44" s="916"/>
      <c r="D44" s="916"/>
      <c r="E44" s="916" t="s">
        <v>26</v>
      </c>
      <c r="F44" s="916" t="s">
        <v>699</v>
      </c>
      <c r="G44" s="916"/>
      <c r="H44" s="916"/>
      <c r="I44" s="916"/>
      <c r="J44" s="916"/>
      <c r="K44" s="71"/>
      <c r="L44" s="72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customHeight="1">
      <c r="A45" s="4"/>
      <c r="B45" s="4"/>
      <c r="C45" s="908"/>
      <c r="D45" s="908"/>
      <c r="E45" s="908"/>
      <c r="F45" s="908"/>
      <c r="G45" s="908"/>
      <c r="H45" s="908"/>
      <c r="I45" s="908"/>
      <c r="J45" s="908"/>
      <c r="K45" s="4"/>
      <c r="L45" s="41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ht="15" customHeight="1">
      <c r="A46" s="4"/>
      <c r="B46" s="1879" t="s">
        <v>702</v>
      </c>
      <c r="C46" s="1879" t="s">
        <v>703</v>
      </c>
      <c r="D46" s="1292"/>
      <c r="E46" s="1292"/>
      <c r="F46" s="1292"/>
      <c r="G46" s="1292"/>
      <c r="H46" s="1292"/>
      <c r="I46" s="1292"/>
      <c r="J46" s="1292"/>
      <c r="K46" s="1292"/>
      <c r="L46" s="1292"/>
      <c r="M46" s="1292"/>
      <c r="N46" s="1292"/>
      <c r="O46" s="1292"/>
      <c r="P46" s="1292"/>
      <c r="Q46" s="1292"/>
      <c r="R46" s="1292"/>
      <c r="S46" s="1292"/>
      <c r="T46" s="1292"/>
      <c r="U46" s="1292"/>
      <c r="V46" s="1292"/>
      <c r="W46" s="1292"/>
      <c r="X46" s="1292"/>
      <c r="Y46" s="1292"/>
      <c r="Z46" s="1292"/>
      <c r="AA46" s="1880"/>
      <c r="AB46" s="1292" t="s">
        <v>704</v>
      </c>
      <c r="AC46" s="1292"/>
      <c r="AD46" s="1292"/>
      <c r="AE46" s="1292"/>
      <c r="AF46" s="1292"/>
      <c r="AG46" s="1292"/>
      <c r="AH46" s="1292"/>
      <c r="AI46" s="1292"/>
      <c r="AJ46" s="1292"/>
      <c r="AK46" s="1292"/>
      <c r="AL46" s="1292"/>
      <c r="AM46" s="1292"/>
      <c r="AN46" s="1880"/>
      <c r="AO46" s="11"/>
    </row>
    <row r="47" spans="1:41" ht="15" customHeight="1">
      <c r="A47" s="4"/>
      <c r="B47" s="1004"/>
      <c r="C47" s="1004"/>
      <c r="D47" s="982"/>
      <c r="E47" s="982"/>
      <c r="F47" s="982"/>
      <c r="G47" s="982"/>
      <c r="H47" s="982"/>
      <c r="I47" s="982"/>
      <c r="J47" s="982"/>
      <c r="K47" s="982"/>
      <c r="L47" s="982"/>
      <c r="M47" s="982"/>
      <c r="N47" s="982"/>
      <c r="O47" s="982"/>
      <c r="P47" s="982"/>
      <c r="Q47" s="982"/>
      <c r="R47" s="982"/>
      <c r="S47" s="982"/>
      <c r="T47" s="982"/>
      <c r="U47" s="982"/>
      <c r="V47" s="982"/>
      <c r="W47" s="982"/>
      <c r="X47" s="982"/>
      <c r="Y47" s="982"/>
      <c r="Z47" s="982"/>
      <c r="AA47" s="1881"/>
      <c r="AB47" s="982" t="s">
        <v>705</v>
      </c>
      <c r="AC47" s="982"/>
      <c r="AD47" s="982"/>
      <c r="AE47" s="982"/>
      <c r="AF47" s="982"/>
      <c r="AG47" s="982"/>
      <c r="AH47" s="982"/>
      <c r="AI47" s="982"/>
      <c r="AJ47" s="982"/>
      <c r="AK47" s="982"/>
      <c r="AL47" s="982"/>
      <c r="AM47" s="982"/>
      <c r="AN47" s="1881"/>
      <c r="AO47" s="11"/>
    </row>
    <row r="48" spans="2:41" s="6" customFormat="1" ht="15" customHeight="1">
      <c r="B48" s="145" t="s">
        <v>65</v>
      </c>
      <c r="C48" s="145" t="s">
        <v>64</v>
      </c>
      <c r="D48" s="1861"/>
      <c r="E48" s="1861"/>
      <c r="F48" s="1861"/>
      <c r="G48" s="1861"/>
      <c r="H48" s="1861"/>
      <c r="I48" s="1861"/>
      <c r="J48" s="1861"/>
      <c r="K48" s="1861"/>
      <c r="L48" s="1861"/>
      <c r="M48" s="1861"/>
      <c r="N48" s="1861"/>
      <c r="O48" s="1861"/>
      <c r="P48" s="1861"/>
      <c r="Q48" s="1861"/>
      <c r="R48" s="1861"/>
      <c r="S48" s="1861"/>
      <c r="T48" s="1861"/>
      <c r="U48" s="1861"/>
      <c r="V48" s="1861"/>
      <c r="W48" s="1861"/>
      <c r="X48" s="1861"/>
      <c r="Y48" s="1861"/>
      <c r="Z48" s="1861"/>
      <c r="AA48" s="1862"/>
      <c r="AB48" s="145" t="s">
        <v>66</v>
      </c>
      <c r="AC48" s="1861"/>
      <c r="AD48" s="1861"/>
      <c r="AE48" s="1861"/>
      <c r="AF48" s="1861"/>
      <c r="AG48" s="1861"/>
      <c r="AH48" s="1861"/>
      <c r="AI48" s="1861"/>
      <c r="AJ48" s="1861"/>
      <c r="AK48" s="1861"/>
      <c r="AL48" s="1861"/>
      <c r="AM48" s="1861"/>
      <c r="AN48" s="1862"/>
      <c r="AO48" s="6"/>
    </row>
    <row r="49" spans="1:41" customFormat="1" ht="3" customHeight="1">
      <c r="A49" s="4"/>
      <c r="B49" s="165"/>
      <c r="C49" s="165"/>
      <c r="D49" s="45"/>
      <c r="E49" s="45"/>
      <c r="F49" s="45"/>
      <c r="G49" s="45"/>
      <c r="H49" s="45"/>
      <c r="I49" s="45"/>
      <c r="J49" s="45"/>
      <c r="K49" s="45"/>
      <c r="L49" s="162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150"/>
      <c r="AB49" s="165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64"/>
      <c r="AO49" s="4"/>
    </row>
    <row r="50" spans="1:40" ht="15" customHeight="1">
      <c r="A50" s="4"/>
      <c r="B50" s="141" t="s">
        <v>386</v>
      </c>
      <c r="C50" s="1872" t="s">
        <v>715</v>
      </c>
      <c r="D50" s="983"/>
      <c r="E50" s="983"/>
      <c r="F50" s="983"/>
      <c r="G50" s="983"/>
      <c r="H50" s="983"/>
      <c r="I50" s="983"/>
      <c r="J50" s="983"/>
      <c r="K50" s="983"/>
      <c r="L50" s="982"/>
      <c r="M50" s="982"/>
      <c r="N50" s="982"/>
      <c r="O50" s="982"/>
      <c r="P50" s="982"/>
      <c r="Q50" s="982"/>
      <c r="R50" s="982"/>
      <c r="S50" s="982"/>
      <c r="T50" s="982"/>
      <c r="U50" s="982"/>
      <c r="V50" s="982"/>
      <c r="W50" s="982"/>
      <c r="X50" s="982"/>
      <c r="Y50" s="982"/>
      <c r="Z50" s="982"/>
      <c r="AA50" s="1881"/>
      <c r="AB50" s="376">
        <f>'GENERAL INFO'!O191</f>
        <v>0</v>
      </c>
      <c r="AC50" s="246"/>
      <c r="AD50" s="246"/>
      <c r="AE50" s="246"/>
      <c r="AF50" s="246"/>
      <c r="AG50" s="246"/>
      <c r="AH50" s="246"/>
      <c r="AI50" s="246"/>
      <c r="AJ50" s="246"/>
      <c r="AK50" s="246"/>
      <c r="AL50" s="246"/>
      <c r="AM50" s="246"/>
      <c r="AN50" s="258"/>
    </row>
    <row r="51" spans="1:40" ht="15" customHeight="1">
      <c r="A51" s="4"/>
      <c r="B51" s="1293"/>
      <c r="C51" s="1866"/>
      <c r="D51" s="1867"/>
      <c r="E51" s="1867"/>
      <c r="F51" s="1867"/>
      <c r="G51" s="1867"/>
      <c r="H51" s="1867"/>
      <c r="I51" s="1867"/>
      <c r="J51" s="1867"/>
      <c r="K51" s="1867"/>
      <c r="L51" s="1898"/>
      <c r="M51" s="1898"/>
      <c r="N51" s="1898"/>
      <c r="O51" s="1898"/>
      <c r="P51" s="1898"/>
      <c r="Q51" s="1898"/>
      <c r="R51" s="1898"/>
      <c r="S51" s="1898"/>
      <c r="T51" s="1898"/>
      <c r="U51" s="1898"/>
      <c r="V51" s="1898"/>
      <c r="W51" s="1898"/>
      <c r="X51" s="1898"/>
      <c r="Y51" s="1898"/>
      <c r="Z51" s="1898"/>
      <c r="AA51" s="1899"/>
      <c r="AB51" s="377"/>
      <c r="AC51" s="1871"/>
      <c r="AD51" s="1871"/>
      <c r="AE51" s="1871"/>
      <c r="AF51" s="1871"/>
      <c r="AG51" s="1871"/>
      <c r="AH51" s="1871"/>
      <c r="AI51" s="1871"/>
      <c r="AJ51" s="1871"/>
      <c r="AK51" s="1871"/>
      <c r="AL51" s="1871"/>
      <c r="AM51" s="1871"/>
      <c r="AN51" s="261"/>
    </row>
    <row r="52" spans="1:40" ht="3" customHeight="1">
      <c r="A52" s="4"/>
      <c r="B52" s="142"/>
      <c r="C52" s="1341"/>
      <c r="D52" s="1342"/>
      <c r="E52" s="1342"/>
      <c r="F52" s="1342"/>
      <c r="G52" s="1342"/>
      <c r="H52" s="1342"/>
      <c r="I52" s="1342"/>
      <c r="J52" s="1342"/>
      <c r="K52" s="1342"/>
      <c r="L52" s="1295"/>
      <c r="M52" s="1342"/>
      <c r="N52" s="1342"/>
      <c r="O52" s="1342"/>
      <c r="P52" s="1342"/>
      <c r="Q52" s="1342"/>
      <c r="R52" s="1342"/>
      <c r="S52" s="1342"/>
      <c r="T52" s="1342"/>
      <c r="U52" s="1342"/>
      <c r="V52" s="1342"/>
      <c r="W52" s="1342"/>
      <c r="X52" s="1342"/>
      <c r="Y52" s="1342"/>
      <c r="Z52" s="1342"/>
      <c r="AA52" s="1343"/>
      <c r="AB52" s="1869">
        <f>'GENERAL INFO'!O192</f>
        <v>0</v>
      </c>
      <c r="AC52" s="1870"/>
      <c r="AD52" s="1870"/>
      <c r="AE52" s="1870"/>
      <c r="AF52" s="1870"/>
      <c r="AG52" s="1870"/>
      <c r="AH52" s="1870"/>
      <c r="AI52" s="1870"/>
      <c r="AJ52" s="1870"/>
      <c r="AK52" s="1870"/>
      <c r="AL52" s="1870"/>
      <c r="AM52" s="1870"/>
      <c r="AN52" s="262"/>
    </row>
    <row r="53" spans="1:40" ht="15" customHeight="1">
      <c r="A53" s="4"/>
      <c r="B53" s="141" t="s">
        <v>387</v>
      </c>
      <c r="C53" s="1872" t="s">
        <v>716</v>
      </c>
      <c r="D53" s="983"/>
      <c r="E53" s="983"/>
      <c r="F53" s="983"/>
      <c r="G53" s="983"/>
      <c r="H53" s="983"/>
      <c r="I53" s="983"/>
      <c r="J53" s="983"/>
      <c r="K53" s="983"/>
      <c r="L53" s="983"/>
      <c r="M53" s="983"/>
      <c r="N53" s="983"/>
      <c r="O53" s="983"/>
      <c r="P53" s="983"/>
      <c r="Q53" s="983"/>
      <c r="R53" s="983"/>
      <c r="S53" s="983"/>
      <c r="T53" s="983"/>
      <c r="U53" s="983"/>
      <c r="V53" s="983"/>
      <c r="W53" s="983"/>
      <c r="X53" s="983"/>
      <c r="Y53" s="983"/>
      <c r="Z53" s="983"/>
      <c r="AA53" s="1377"/>
      <c r="AB53" s="376"/>
      <c r="AC53" s="246"/>
      <c r="AD53" s="246"/>
      <c r="AE53" s="246"/>
      <c r="AF53" s="246"/>
      <c r="AG53" s="246"/>
      <c r="AH53" s="246"/>
      <c r="AI53" s="246"/>
      <c r="AJ53" s="246"/>
      <c r="AK53" s="246"/>
      <c r="AL53" s="246"/>
      <c r="AM53" s="246"/>
      <c r="AN53" s="258"/>
    </row>
    <row r="54" spans="1:40" ht="15" customHeight="1">
      <c r="A54" s="4"/>
      <c r="B54" s="1293"/>
      <c r="C54" s="1866"/>
      <c r="D54" s="1867"/>
      <c r="E54" s="1867"/>
      <c r="F54" s="1867"/>
      <c r="G54" s="1867"/>
      <c r="H54" s="1867"/>
      <c r="I54" s="1867"/>
      <c r="J54" s="1867"/>
      <c r="K54" s="1867"/>
      <c r="L54" s="1867"/>
      <c r="M54" s="1867"/>
      <c r="N54" s="1867"/>
      <c r="O54" s="1867"/>
      <c r="P54" s="1867"/>
      <c r="Q54" s="1867"/>
      <c r="R54" s="1867"/>
      <c r="S54" s="1867"/>
      <c r="T54" s="1867"/>
      <c r="U54" s="1867"/>
      <c r="V54" s="1867"/>
      <c r="W54" s="1867"/>
      <c r="X54" s="1867"/>
      <c r="Y54" s="1867"/>
      <c r="Z54" s="1867"/>
      <c r="AA54" s="1868"/>
      <c r="AB54" s="377">
        <f>'GENERAL INFO'!O195</f>
        <v>0</v>
      </c>
      <c r="AC54" s="1871"/>
      <c r="AD54" s="1871"/>
      <c r="AE54" s="1871"/>
      <c r="AF54" s="1871"/>
      <c r="AG54" s="1871"/>
      <c r="AH54" s="1871"/>
      <c r="AI54" s="1871"/>
      <c r="AJ54" s="1871"/>
      <c r="AK54" s="1871"/>
      <c r="AL54" s="1871"/>
      <c r="AM54" s="1871"/>
      <c r="AN54" s="261"/>
    </row>
    <row r="55" spans="1:40" ht="3" customHeight="1">
      <c r="A55" s="4"/>
      <c r="B55" s="142"/>
      <c r="C55" s="1341"/>
      <c r="D55" s="1342"/>
      <c r="E55" s="1342"/>
      <c r="F55" s="1342"/>
      <c r="G55" s="1342"/>
      <c r="H55" s="1342"/>
      <c r="I55" s="1342"/>
      <c r="J55" s="1342"/>
      <c r="K55" s="1342"/>
      <c r="L55" s="1295"/>
      <c r="M55" s="1342"/>
      <c r="N55" s="1342"/>
      <c r="O55" s="1342"/>
      <c r="P55" s="1342"/>
      <c r="Q55" s="1342"/>
      <c r="R55" s="1342"/>
      <c r="S55" s="1342"/>
      <c r="T55" s="1342"/>
      <c r="U55" s="1342"/>
      <c r="V55" s="1342"/>
      <c r="W55" s="1342"/>
      <c r="X55" s="1342"/>
      <c r="Y55" s="1342"/>
      <c r="Z55" s="1342"/>
      <c r="AA55" s="1343"/>
      <c r="AB55" s="1869">
        <f>'GENERAL INFO'!O193</f>
        <v>0</v>
      </c>
      <c r="AC55" s="1870"/>
      <c r="AD55" s="1870"/>
      <c r="AE55" s="1870"/>
      <c r="AF55" s="1870"/>
      <c r="AG55" s="1870"/>
      <c r="AH55" s="1870"/>
      <c r="AI55" s="1870"/>
      <c r="AJ55" s="1870"/>
      <c r="AK55" s="1870"/>
      <c r="AL55" s="1870"/>
      <c r="AM55" s="1870"/>
      <c r="AN55" s="262"/>
    </row>
    <row r="56" spans="1:40" ht="15" customHeight="1">
      <c r="A56" s="4"/>
      <c r="B56" s="1294" t="s">
        <v>388</v>
      </c>
      <c r="C56" s="1894" t="s">
        <v>1200</v>
      </c>
      <c r="D56" s="983"/>
      <c r="E56" s="983"/>
      <c r="F56" s="983"/>
      <c r="G56" s="983"/>
      <c r="H56" s="983"/>
      <c r="I56" s="983"/>
      <c r="J56" s="983"/>
      <c r="K56" s="983"/>
      <c r="L56" s="983"/>
      <c r="M56" s="983"/>
      <c r="N56" s="983"/>
      <c r="O56" s="983"/>
      <c r="P56" s="983"/>
      <c r="Q56" s="983"/>
      <c r="R56" s="983"/>
      <c r="S56" s="983"/>
      <c r="T56" s="983"/>
      <c r="U56" s="983"/>
      <c r="V56" s="983"/>
      <c r="W56" s="983"/>
      <c r="X56" s="983"/>
      <c r="Y56" s="983"/>
      <c r="Z56" s="983"/>
      <c r="AA56" s="1377"/>
      <c r="AB56" s="376"/>
      <c r="AC56" s="246"/>
      <c r="AD56" s="246"/>
      <c r="AE56" s="246"/>
      <c r="AF56" s="246"/>
      <c r="AG56" s="246"/>
      <c r="AH56" s="246"/>
      <c r="AI56" s="246"/>
      <c r="AJ56" s="246"/>
      <c r="AK56" s="246"/>
      <c r="AL56" s="246"/>
      <c r="AM56" s="246"/>
      <c r="AN56" s="258"/>
    </row>
    <row r="57" spans="1:40" ht="15" customHeight="1">
      <c r="A57" s="4"/>
      <c r="B57" s="1900"/>
      <c r="C57" s="1866"/>
      <c r="D57" s="1867"/>
      <c r="E57" s="1867"/>
      <c r="F57" s="1867"/>
      <c r="G57" s="1867"/>
      <c r="H57" s="1867"/>
      <c r="I57" s="1867"/>
      <c r="J57" s="1867"/>
      <c r="K57" s="1867"/>
      <c r="L57" s="1867"/>
      <c r="M57" s="1867"/>
      <c r="N57" s="1867"/>
      <c r="O57" s="1867"/>
      <c r="P57" s="1867"/>
      <c r="Q57" s="1867"/>
      <c r="R57" s="1867"/>
      <c r="S57" s="1867"/>
      <c r="T57" s="1867"/>
      <c r="U57" s="1867"/>
      <c r="V57" s="1867"/>
      <c r="W57" s="1867"/>
      <c r="X57" s="1867"/>
      <c r="Y57" s="1867"/>
      <c r="Z57" s="1867"/>
      <c r="AA57" s="1868"/>
      <c r="AB57" s="377">
        <f>'GENERAL INFO'!O198</f>
        <v>0</v>
      </c>
      <c r="AC57" s="1871"/>
      <c r="AD57" s="1871"/>
      <c r="AE57" s="1871"/>
      <c r="AF57" s="1871"/>
      <c r="AG57" s="1871"/>
      <c r="AH57" s="1871"/>
      <c r="AI57" s="1871"/>
      <c r="AJ57" s="1871"/>
      <c r="AK57" s="1871"/>
      <c r="AL57" s="1871"/>
      <c r="AM57" s="1871"/>
      <c r="AN57" s="261"/>
    </row>
    <row r="58" spans="1:40" ht="3" customHeight="1">
      <c r="A58" s="4"/>
      <c r="B58" s="142"/>
      <c r="C58" s="1341"/>
      <c r="D58" s="1342"/>
      <c r="E58" s="1342"/>
      <c r="F58" s="1342"/>
      <c r="G58" s="1342"/>
      <c r="H58" s="1342"/>
      <c r="I58" s="1342"/>
      <c r="J58" s="1342"/>
      <c r="K58" s="1342"/>
      <c r="L58" s="1295"/>
      <c r="M58" s="1342"/>
      <c r="N58" s="1342"/>
      <c r="O58" s="1342"/>
      <c r="P58" s="1342"/>
      <c r="Q58" s="1342"/>
      <c r="R58" s="1342"/>
      <c r="S58" s="1342"/>
      <c r="T58" s="1342"/>
      <c r="U58" s="1342"/>
      <c r="V58" s="1342"/>
      <c r="W58" s="1342"/>
      <c r="X58" s="1342"/>
      <c r="Y58" s="1342"/>
      <c r="Z58" s="1342"/>
      <c r="AA58" s="1343"/>
      <c r="AB58" s="1869">
        <f>'GENERAL INFO'!O194</f>
        <v>0</v>
      </c>
      <c r="AC58" s="1870"/>
      <c r="AD58" s="1870"/>
      <c r="AE58" s="1870"/>
      <c r="AF58" s="1870"/>
      <c r="AG58" s="1870"/>
      <c r="AH58" s="1870"/>
      <c r="AI58" s="1870"/>
      <c r="AJ58" s="1870"/>
      <c r="AK58" s="1870"/>
      <c r="AL58" s="1870"/>
      <c r="AM58" s="1870"/>
      <c r="AN58" s="262"/>
    </row>
    <row r="59" spans="1:40" ht="15" customHeight="1">
      <c r="A59" s="4"/>
      <c r="B59" s="141" t="s">
        <v>389</v>
      </c>
      <c r="C59" s="1894" t="s">
        <v>717</v>
      </c>
      <c r="D59" s="983"/>
      <c r="E59" s="983"/>
      <c r="F59" s="983"/>
      <c r="G59" s="983"/>
      <c r="H59" s="983"/>
      <c r="I59" s="983"/>
      <c r="J59" s="983"/>
      <c r="K59" s="983"/>
      <c r="L59" s="983"/>
      <c r="M59" s="983"/>
      <c r="N59" s="983"/>
      <c r="O59" s="983"/>
      <c r="P59" s="983"/>
      <c r="Q59" s="983"/>
      <c r="R59" s="983"/>
      <c r="S59" s="983"/>
      <c r="T59" s="983"/>
      <c r="U59" s="983"/>
      <c r="V59" s="983"/>
      <c r="W59" s="983"/>
      <c r="X59" s="983"/>
      <c r="Y59" s="983"/>
      <c r="Z59" s="983"/>
      <c r="AA59" s="1377"/>
      <c r="AB59" s="376"/>
      <c r="AC59" s="246"/>
      <c r="AD59" s="246"/>
      <c r="AE59" s="246"/>
      <c r="AF59" s="246"/>
      <c r="AG59" s="246"/>
      <c r="AH59" s="246"/>
      <c r="AI59" s="246"/>
      <c r="AJ59" s="246"/>
      <c r="AK59" s="246"/>
      <c r="AL59" s="246"/>
      <c r="AM59" s="246"/>
      <c r="AN59" s="258"/>
    </row>
    <row r="60" spans="1:40" ht="15" customHeight="1">
      <c r="A60" s="4"/>
      <c r="B60" s="1293"/>
      <c r="C60" s="1866"/>
      <c r="D60" s="1867"/>
      <c r="E60" s="1867"/>
      <c r="F60" s="1867"/>
      <c r="G60" s="1867"/>
      <c r="H60" s="1867"/>
      <c r="I60" s="1867"/>
      <c r="J60" s="1867"/>
      <c r="K60" s="1867"/>
      <c r="L60" s="1867"/>
      <c r="M60" s="1867"/>
      <c r="N60" s="1867"/>
      <c r="O60" s="1867"/>
      <c r="P60" s="1867"/>
      <c r="Q60" s="1867"/>
      <c r="R60" s="1867"/>
      <c r="S60" s="1867"/>
      <c r="T60" s="1867"/>
      <c r="U60" s="1867"/>
      <c r="V60" s="1867"/>
      <c r="W60" s="1867"/>
      <c r="X60" s="1867"/>
      <c r="Y60" s="1867"/>
      <c r="Z60" s="1867"/>
      <c r="AA60" s="1868"/>
      <c r="AB60" s="377">
        <f>'GENERAL INFO'!O201</f>
        <v>0</v>
      </c>
      <c r="AC60" s="1871"/>
      <c r="AD60" s="1871"/>
      <c r="AE60" s="1871"/>
      <c r="AF60" s="1871"/>
      <c r="AG60" s="1871"/>
      <c r="AH60" s="1871"/>
      <c r="AI60" s="1871"/>
      <c r="AJ60" s="1871"/>
      <c r="AK60" s="1871"/>
      <c r="AL60" s="1871"/>
      <c r="AM60" s="1871"/>
      <c r="AN60" s="261"/>
    </row>
    <row r="61" spans="1:40" ht="3" customHeight="1">
      <c r="A61" s="4"/>
      <c r="B61" s="142"/>
      <c r="C61" s="1341"/>
      <c r="D61" s="1342"/>
      <c r="E61" s="1342"/>
      <c r="F61" s="1342"/>
      <c r="G61" s="1342"/>
      <c r="H61" s="1342"/>
      <c r="I61" s="1342"/>
      <c r="J61" s="1342"/>
      <c r="K61" s="1342"/>
      <c r="L61" s="1295"/>
      <c r="M61" s="1342"/>
      <c r="N61" s="1342"/>
      <c r="O61" s="1342"/>
      <c r="P61" s="1342"/>
      <c r="Q61" s="1342"/>
      <c r="R61" s="1342"/>
      <c r="S61" s="1342"/>
      <c r="T61" s="1342"/>
      <c r="U61" s="1342"/>
      <c r="V61" s="1342"/>
      <c r="W61" s="1342"/>
      <c r="X61" s="1342"/>
      <c r="Y61" s="1342"/>
      <c r="Z61" s="1342"/>
      <c r="AA61" s="1343"/>
      <c r="AB61" s="1869">
        <f>'GENERAL INFO'!O195</f>
        <v>0</v>
      </c>
      <c r="AC61" s="1870"/>
      <c r="AD61" s="1870"/>
      <c r="AE61" s="1870"/>
      <c r="AF61" s="1870"/>
      <c r="AG61" s="1870"/>
      <c r="AH61" s="1870"/>
      <c r="AI61" s="1870"/>
      <c r="AJ61" s="1870"/>
      <c r="AK61" s="1870"/>
      <c r="AL61" s="1870"/>
      <c r="AM61" s="1870"/>
      <c r="AN61" s="262"/>
    </row>
    <row r="62" spans="1:40" ht="15" customHeight="1">
      <c r="A62" s="4"/>
      <c r="B62" s="141" t="s">
        <v>390</v>
      </c>
      <c r="C62" s="1872" t="s">
        <v>718</v>
      </c>
      <c r="D62" s="983"/>
      <c r="E62" s="983"/>
      <c r="F62" s="983"/>
      <c r="G62" s="983"/>
      <c r="H62" s="983"/>
      <c r="I62" s="983"/>
      <c r="J62" s="983"/>
      <c r="K62" s="983"/>
      <c r="L62" s="983"/>
      <c r="M62" s="983"/>
      <c r="N62" s="983"/>
      <c r="O62" s="983"/>
      <c r="P62" s="983"/>
      <c r="Q62" s="983"/>
      <c r="R62" s="983"/>
      <c r="S62" s="983"/>
      <c r="T62" s="983"/>
      <c r="U62" s="983"/>
      <c r="V62" s="983"/>
      <c r="W62" s="983"/>
      <c r="X62" s="983"/>
      <c r="Y62" s="983"/>
      <c r="Z62" s="983"/>
      <c r="AA62" s="1377"/>
      <c r="AB62" s="376"/>
      <c r="AC62" s="246"/>
      <c r="AD62" s="246"/>
      <c r="AE62" s="246"/>
      <c r="AF62" s="246"/>
      <c r="AG62" s="246"/>
      <c r="AH62" s="246"/>
      <c r="AI62" s="246"/>
      <c r="AJ62" s="246"/>
      <c r="AK62" s="246"/>
      <c r="AL62" s="246"/>
      <c r="AM62" s="246"/>
      <c r="AN62" s="258"/>
    </row>
    <row r="63" spans="1:40" ht="15" customHeight="1">
      <c r="A63" s="4"/>
      <c r="B63" s="1293"/>
      <c r="C63" s="1866"/>
      <c r="D63" s="1867"/>
      <c r="E63" s="1867"/>
      <c r="F63" s="1867"/>
      <c r="G63" s="1867"/>
      <c r="H63" s="1867"/>
      <c r="I63" s="1867"/>
      <c r="J63" s="1867"/>
      <c r="K63" s="1867"/>
      <c r="L63" s="1867"/>
      <c r="M63" s="1867"/>
      <c r="N63" s="1867"/>
      <c r="O63" s="1867"/>
      <c r="P63" s="1867"/>
      <c r="Q63" s="1867"/>
      <c r="R63" s="1867"/>
      <c r="S63" s="1867"/>
      <c r="T63" s="1867"/>
      <c r="U63" s="1867"/>
      <c r="V63" s="1867"/>
      <c r="W63" s="1867"/>
      <c r="X63" s="1867"/>
      <c r="Y63" s="1867"/>
      <c r="Z63" s="1867"/>
      <c r="AA63" s="1868"/>
      <c r="AB63" s="377">
        <f>'GENERAL INFO'!O204</f>
        <v>0</v>
      </c>
      <c r="AC63" s="1871"/>
      <c r="AD63" s="1871"/>
      <c r="AE63" s="1871"/>
      <c r="AF63" s="1871"/>
      <c r="AG63" s="1871"/>
      <c r="AH63" s="1871"/>
      <c r="AI63" s="1871"/>
      <c r="AJ63" s="1871"/>
      <c r="AK63" s="1871"/>
      <c r="AL63" s="1871"/>
      <c r="AM63" s="1871"/>
      <c r="AN63" s="261"/>
    </row>
    <row r="64" spans="1:40" ht="15" customHeight="1">
      <c r="A64" s="4"/>
      <c r="B64" s="141" t="s">
        <v>391</v>
      </c>
      <c r="C64" s="1872" t="s">
        <v>719</v>
      </c>
      <c r="D64" s="983"/>
      <c r="E64" s="983"/>
      <c r="F64" s="983"/>
      <c r="G64" s="983"/>
      <c r="H64" s="983"/>
      <c r="I64" s="983"/>
      <c r="J64" s="983"/>
      <c r="K64" s="983"/>
      <c r="L64" s="983"/>
      <c r="M64" s="983"/>
      <c r="N64" s="983"/>
      <c r="O64" s="983"/>
      <c r="P64" s="983"/>
      <c r="Q64" s="983"/>
      <c r="R64" s="983"/>
      <c r="S64" s="983"/>
      <c r="T64" s="983"/>
      <c r="U64" s="983"/>
      <c r="V64" s="983"/>
      <c r="W64" s="983"/>
      <c r="X64" s="983"/>
      <c r="Y64" s="983"/>
      <c r="Z64" s="983"/>
      <c r="AA64" s="1377"/>
      <c r="AB64" s="376">
        <f>'GENERAL INFO'!O196</f>
        <v>0</v>
      </c>
      <c r="AC64" s="246"/>
      <c r="AD64" s="246"/>
      <c r="AE64" s="246"/>
      <c r="AF64" s="246"/>
      <c r="AG64" s="246"/>
      <c r="AH64" s="246"/>
      <c r="AI64" s="246"/>
      <c r="AJ64" s="246"/>
      <c r="AK64" s="246"/>
      <c r="AL64" s="246"/>
      <c r="AM64" s="246"/>
      <c r="AN64" s="258"/>
    </row>
    <row r="65" spans="1:40" ht="15" customHeight="1">
      <c r="A65" s="4"/>
      <c r="B65" s="141"/>
      <c r="C65" s="1866"/>
      <c r="D65" s="1867"/>
      <c r="E65" s="1867"/>
      <c r="F65" s="1867"/>
      <c r="G65" s="1867"/>
      <c r="H65" s="1867"/>
      <c r="I65" s="1867"/>
      <c r="J65" s="1867"/>
      <c r="K65" s="1867"/>
      <c r="L65" s="1867"/>
      <c r="M65" s="1867"/>
      <c r="N65" s="1867"/>
      <c r="O65" s="1867"/>
      <c r="P65" s="1867"/>
      <c r="Q65" s="1867"/>
      <c r="R65" s="1867"/>
      <c r="S65" s="1867"/>
      <c r="T65" s="1867"/>
      <c r="U65" s="1867"/>
      <c r="V65" s="1867"/>
      <c r="W65" s="1867"/>
      <c r="X65" s="1867"/>
      <c r="Y65" s="1867"/>
      <c r="Z65" s="1867"/>
      <c r="AA65" s="1868"/>
      <c r="AB65" s="377"/>
      <c r="AC65" s="1871"/>
      <c r="AD65" s="1871"/>
      <c r="AE65" s="1871"/>
      <c r="AF65" s="1871"/>
      <c r="AG65" s="1871"/>
      <c r="AH65" s="1871"/>
      <c r="AI65" s="1871"/>
      <c r="AJ65" s="1871"/>
      <c r="AK65" s="1871"/>
      <c r="AL65" s="1871"/>
      <c r="AM65" s="1871"/>
      <c r="AN65" s="261"/>
    </row>
    <row r="66" spans="1:40" ht="3" customHeight="1">
      <c r="A66" s="4"/>
      <c r="B66" s="142"/>
      <c r="C66" s="147"/>
      <c r="D66" s="148"/>
      <c r="E66" s="148"/>
      <c r="F66" s="148"/>
      <c r="G66" s="148"/>
      <c r="H66" s="148"/>
      <c r="I66" s="148"/>
      <c r="J66" s="148"/>
      <c r="K66" s="148"/>
      <c r="L66" s="149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2" t="s">
        <v>720</v>
      </c>
      <c r="AA66" s="1895"/>
      <c r="AB66" s="1869">
        <f>AB52+AB50+AB55+AB58+AB61+AB64</f>
        <v>0</v>
      </c>
      <c r="AC66" s="1870"/>
      <c r="AD66" s="1870"/>
      <c r="AE66" s="1870"/>
      <c r="AF66" s="1870"/>
      <c r="AG66" s="1870"/>
      <c r="AH66" s="1870"/>
      <c r="AI66" s="1870"/>
      <c r="AJ66" s="1870"/>
      <c r="AK66" s="1870"/>
      <c r="AL66" s="1870"/>
      <c r="AM66" s="1870"/>
      <c r="AN66" s="262"/>
    </row>
    <row r="67" spans="1:40" ht="15" customHeight="1">
      <c r="A67" s="4"/>
      <c r="B67" s="141"/>
      <c r="C67" s="141" t="s">
        <v>721</v>
      </c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297"/>
      <c r="Z67" s="141"/>
      <c r="AA67" s="297"/>
      <c r="AB67" s="376"/>
      <c r="AC67" s="246"/>
      <c r="AD67" s="246"/>
      <c r="AE67" s="246"/>
      <c r="AF67" s="246"/>
      <c r="AG67" s="246"/>
      <c r="AH67" s="246"/>
      <c r="AI67" s="246"/>
      <c r="AJ67" s="246"/>
      <c r="AK67" s="246"/>
      <c r="AL67" s="246"/>
      <c r="AM67" s="246"/>
      <c r="AN67" s="258"/>
    </row>
    <row r="68" spans="1:40" ht="15" customHeight="1">
      <c r="A68" s="4"/>
      <c r="B68" s="1293"/>
      <c r="C68" s="1293"/>
      <c r="D68" s="1901"/>
      <c r="E68" s="1901"/>
      <c r="F68" s="1901"/>
      <c r="G68" s="1901"/>
      <c r="H68" s="1901"/>
      <c r="I68" s="1901"/>
      <c r="J68" s="1901"/>
      <c r="K68" s="1901"/>
      <c r="L68" s="1901"/>
      <c r="M68" s="1901"/>
      <c r="N68" s="1901"/>
      <c r="O68" s="1901"/>
      <c r="P68" s="1901"/>
      <c r="Q68" s="1901"/>
      <c r="R68" s="1901"/>
      <c r="S68" s="1901"/>
      <c r="T68" s="1901"/>
      <c r="U68" s="1901"/>
      <c r="V68" s="1901"/>
      <c r="W68" s="1901"/>
      <c r="X68" s="1901"/>
      <c r="Y68" s="1896"/>
      <c r="Z68" s="1293"/>
      <c r="AA68" s="1896"/>
      <c r="AB68" s="377"/>
      <c r="AC68" s="1871"/>
      <c r="AD68" s="1871"/>
      <c r="AE68" s="1871"/>
      <c r="AF68" s="1871"/>
      <c r="AG68" s="1871"/>
      <c r="AH68" s="1871"/>
      <c r="AI68" s="1871"/>
      <c r="AJ68" s="1871"/>
      <c r="AK68" s="1871"/>
      <c r="AL68" s="1871"/>
      <c r="AM68" s="1871"/>
      <c r="AN68" s="261"/>
    </row>
    <row r="69" spans="1:40" ht="3" customHeight="1">
      <c r="A69" s="4"/>
      <c r="B69" s="132"/>
      <c r="C69" s="132"/>
      <c r="D69" s="133"/>
      <c r="E69" s="133"/>
      <c r="F69" s="133"/>
      <c r="G69" s="133"/>
      <c r="H69" s="133"/>
      <c r="I69" s="133"/>
      <c r="J69" s="133"/>
      <c r="K69" s="133"/>
      <c r="L69" s="132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914"/>
      <c r="AC69" s="1914"/>
      <c r="AD69" s="1914"/>
      <c r="AE69" s="1914"/>
      <c r="AF69" s="1914"/>
      <c r="AG69" s="1914"/>
      <c r="AH69" s="1914"/>
      <c r="AI69" s="1914"/>
      <c r="AJ69" s="1914"/>
      <c r="AK69" s="1914"/>
      <c r="AL69" s="1914"/>
      <c r="AM69" s="1914"/>
      <c r="AN69" s="1914"/>
    </row>
    <row r="70" spans="1:40" ht="12" customHeight="1">
      <c r="A70" s="4"/>
      <c r="B70" s="17"/>
      <c r="C70" s="17"/>
      <c r="D70" s="11"/>
      <c r="E70" s="11"/>
      <c r="F70" s="11"/>
      <c r="G70" s="11"/>
      <c r="H70" s="11"/>
      <c r="I70" s="11"/>
      <c r="J70" s="11"/>
      <c r="K70" s="11"/>
      <c r="L70" s="17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spans="1:41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1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 ht="15" customHeight="1">
      <c r="A72" s="4"/>
      <c r="B72" s="71" t="s">
        <v>722</v>
      </c>
      <c r="C72" s="916"/>
      <c r="D72" s="916"/>
      <c r="E72" s="916" t="s">
        <v>26</v>
      </c>
      <c r="F72" s="1013" t="s">
        <v>1201</v>
      </c>
      <c r="G72" s="71"/>
      <c r="H72" s="71"/>
      <c r="I72" s="71"/>
      <c r="J72" s="71"/>
      <c r="K72" s="71"/>
      <c r="L72" s="72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6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ht="3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1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ht="3" customHeight="1">
      <c r="A74" s="4"/>
      <c r="B74" s="87"/>
      <c r="C74" s="4"/>
      <c r="D74" s="4"/>
      <c r="E74" s="4"/>
      <c r="F74" s="4"/>
      <c r="G74" s="4"/>
      <c r="H74" s="4"/>
      <c r="I74" s="4"/>
      <c r="J74" s="4"/>
      <c r="K74" s="4"/>
      <c r="L74" s="41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86"/>
      <c r="AO74" s="4"/>
    </row>
    <row r="75" spans="1:41" ht="15" customHeight="1">
      <c r="A75" s="4"/>
      <c r="B75" s="1879" t="s">
        <v>702</v>
      </c>
      <c r="C75" s="1915" t="s">
        <v>723</v>
      </c>
      <c r="D75" s="1295"/>
      <c r="E75" s="1295"/>
      <c r="F75" s="1295"/>
      <c r="G75" s="1295"/>
      <c r="H75" s="1295"/>
      <c r="I75" s="1295"/>
      <c r="J75" s="1295"/>
      <c r="K75" s="1916"/>
      <c r="L75" s="1292" t="s">
        <v>723</v>
      </c>
      <c r="M75" s="1292"/>
      <c r="N75" s="1292"/>
      <c r="O75" s="1292"/>
      <c r="P75" s="1292"/>
      <c r="Q75" s="1292"/>
      <c r="R75" s="1292"/>
      <c r="S75" s="1292"/>
      <c r="T75" s="1879" t="s">
        <v>724</v>
      </c>
      <c r="U75" s="1292"/>
      <c r="V75" s="1292"/>
      <c r="W75" s="1292"/>
      <c r="X75" s="1292"/>
      <c r="Y75" s="1292"/>
      <c r="Z75" s="1292"/>
      <c r="AA75" s="1880"/>
      <c r="AB75" s="1917" t="s">
        <v>725</v>
      </c>
      <c r="AC75" s="1295"/>
      <c r="AD75" s="1295"/>
      <c r="AE75" s="1295"/>
      <c r="AF75" s="1916"/>
      <c r="AG75" s="1295" t="s">
        <v>726</v>
      </c>
      <c r="AH75" s="1295"/>
      <c r="AI75" s="1295"/>
      <c r="AJ75" s="1295"/>
      <c r="AK75" s="1295"/>
      <c r="AL75" s="1295"/>
      <c r="AM75" s="1295"/>
      <c r="AN75" s="1916"/>
      <c r="AO75" s="4"/>
    </row>
    <row r="76" spans="1:41" ht="15" customHeight="1">
      <c r="A76" s="4"/>
      <c r="B76" s="1004"/>
      <c r="C76" s="1918" t="s">
        <v>629</v>
      </c>
      <c r="D76" s="982"/>
      <c r="E76" s="982"/>
      <c r="F76" s="982"/>
      <c r="G76" s="982"/>
      <c r="H76" s="982"/>
      <c r="I76" s="982"/>
      <c r="J76" s="982"/>
      <c r="K76" s="1881"/>
      <c r="L76" s="1902" t="s">
        <v>1195</v>
      </c>
      <c r="M76" s="982"/>
      <c r="N76" s="982"/>
      <c r="O76" s="982"/>
      <c r="P76" s="982"/>
      <c r="Q76" s="982"/>
      <c r="R76" s="982"/>
      <c r="S76" s="982"/>
      <c r="T76" s="1897"/>
      <c r="U76" s="1898"/>
      <c r="V76" s="1898"/>
      <c r="W76" s="1898"/>
      <c r="X76" s="1898"/>
      <c r="Y76" s="1898"/>
      <c r="Z76" s="1898"/>
      <c r="AA76" s="1899"/>
      <c r="AB76" s="1906" t="s">
        <v>727</v>
      </c>
      <c r="AC76" s="1907"/>
      <c r="AD76" s="1907"/>
      <c r="AE76" s="1907"/>
      <c r="AF76" s="1908"/>
      <c r="AG76" s="1902" t="s">
        <v>1202</v>
      </c>
      <c r="AH76" s="982"/>
      <c r="AI76" s="982"/>
      <c r="AJ76" s="982"/>
      <c r="AK76" s="982"/>
      <c r="AL76" s="982"/>
      <c r="AM76" s="982"/>
      <c r="AN76" s="1881"/>
      <c r="AO76" s="4"/>
    </row>
    <row r="77" spans="1:41" ht="15" customHeight="1">
      <c r="A77" s="4"/>
      <c r="B77" s="1004"/>
      <c r="C77" s="1004"/>
      <c r="D77" s="982"/>
      <c r="E77" s="982"/>
      <c r="F77" s="982"/>
      <c r="G77" s="982"/>
      <c r="H77" s="982"/>
      <c r="I77" s="982"/>
      <c r="J77" s="982"/>
      <c r="K77" s="1881"/>
      <c r="L77" s="982"/>
      <c r="M77" s="982"/>
      <c r="N77" s="982"/>
      <c r="O77" s="982"/>
      <c r="P77" s="982"/>
      <c r="Q77" s="982"/>
      <c r="R77" s="982"/>
      <c r="S77" s="982"/>
      <c r="T77" s="1903" t="s">
        <v>728</v>
      </c>
      <c r="U77" s="1904"/>
      <c r="V77" s="1904"/>
      <c r="W77" s="1904"/>
      <c r="X77" s="1903" t="s">
        <v>625</v>
      </c>
      <c r="Y77" s="1904"/>
      <c r="Z77" s="1904"/>
      <c r="AA77" s="1905"/>
      <c r="AB77" s="1906" t="s">
        <v>426</v>
      </c>
      <c r="AC77" s="1907"/>
      <c r="AD77" s="1907"/>
      <c r="AE77" s="1907"/>
      <c r="AF77" s="1908"/>
      <c r="AG77" s="982"/>
      <c r="AH77" s="982"/>
      <c r="AI77" s="982"/>
      <c r="AJ77" s="982"/>
      <c r="AK77" s="982"/>
      <c r="AL77" s="982"/>
      <c r="AM77" s="982"/>
      <c r="AN77" s="1881"/>
      <c r="AO77" s="4"/>
    </row>
    <row r="78" spans="1:41" ht="3" customHeight="1">
      <c r="A78" s="4"/>
      <c r="B78" s="160"/>
      <c r="C78" s="161"/>
      <c r="D78" s="133"/>
      <c r="E78" s="133"/>
      <c r="F78" s="133"/>
      <c r="G78" s="133"/>
      <c r="H78" s="133"/>
      <c r="I78" s="133"/>
      <c r="J78" s="133"/>
      <c r="K78" s="135"/>
      <c r="L78" s="162"/>
      <c r="M78" s="45"/>
      <c r="N78" s="45"/>
      <c r="O78" s="45"/>
      <c r="P78" s="163"/>
      <c r="Q78" s="164"/>
      <c r="R78" s="164"/>
      <c r="S78" s="45"/>
      <c r="T78" s="1909" t="s">
        <v>67</v>
      </c>
      <c r="U78" s="1910"/>
      <c r="V78" s="1910"/>
      <c r="W78" s="1911"/>
      <c r="X78" s="1910" t="s">
        <v>68</v>
      </c>
      <c r="Y78" s="1910"/>
      <c r="Z78" s="1910"/>
      <c r="AA78" s="1910"/>
      <c r="AB78" s="165"/>
      <c r="AC78" s="164"/>
      <c r="AD78" s="166"/>
      <c r="AE78" s="164"/>
      <c r="AF78" s="167"/>
      <c r="AG78" s="164"/>
      <c r="AH78" s="45"/>
      <c r="AI78" s="45"/>
      <c r="AJ78" s="45"/>
      <c r="AK78" s="45"/>
      <c r="AL78" s="45"/>
      <c r="AM78" s="45"/>
      <c r="AN78" s="150"/>
      <c r="AO78" s="4"/>
    </row>
    <row r="79" spans="2:40" s="68" customFormat="1" ht="15" customHeight="1">
      <c r="B79" s="168" t="s">
        <v>65</v>
      </c>
      <c r="C79" s="168" t="s">
        <v>64</v>
      </c>
      <c r="D79" s="1912"/>
      <c r="E79" s="1912"/>
      <c r="F79" s="1912"/>
      <c r="G79" s="1912"/>
      <c r="H79" s="1912"/>
      <c r="I79" s="1912"/>
      <c r="J79" s="1912"/>
      <c r="K79" s="1913"/>
      <c r="L79" s="1912" t="s">
        <v>66</v>
      </c>
      <c r="M79" s="1912"/>
      <c r="N79" s="1912"/>
      <c r="O79" s="1912"/>
      <c r="P79" s="1912"/>
      <c r="Q79" s="1912"/>
      <c r="R79" s="1912"/>
      <c r="S79" s="1912"/>
      <c r="T79" s="168"/>
      <c r="U79" s="1912"/>
      <c r="V79" s="1912"/>
      <c r="W79" s="1913"/>
      <c r="X79" s="1912"/>
      <c r="Y79" s="1912"/>
      <c r="Z79" s="1912"/>
      <c r="AA79" s="1912"/>
      <c r="AB79" s="168" t="s">
        <v>100</v>
      </c>
      <c r="AC79" s="1912"/>
      <c r="AD79" s="1912"/>
      <c r="AE79" s="1912"/>
      <c r="AF79" s="1913"/>
      <c r="AG79" s="1912" t="s">
        <v>154</v>
      </c>
      <c r="AH79" s="1912"/>
      <c r="AI79" s="1912"/>
      <c r="AJ79" s="1912"/>
      <c r="AK79" s="1912"/>
      <c r="AL79" s="1912"/>
      <c r="AM79" s="1912"/>
      <c r="AN79" s="1913"/>
    </row>
    <row r="80" spans="1:55" s="336" customFormat="1" ht="18.75" customHeight="1">
      <c r="A80" s="334"/>
      <c r="B80" s="1919" t="s">
        <v>386</v>
      </c>
      <c r="C80" s="1296">
        <f>IF(AND(taxyear&gt;="2018",'JAPANESE INCOME'!J149&gt;0),"-",IF(AND(taxyear&lt;"2018",'JAPANESE INCOME'!J149&gt;0),"添付の別紙参照",employer1))</f>
        <v>0</v>
      </c>
      <c r="D80" s="1297"/>
      <c r="E80" s="1297"/>
      <c r="F80" s="1297"/>
      <c r="G80" s="1297"/>
      <c r="H80" s="1297"/>
      <c r="I80" s="1297"/>
      <c r="J80" s="1297"/>
      <c r="K80" s="1298"/>
      <c r="L80" s="1924" t="str">
        <f>IF(——Art24&gt;0,"-",IF(LEN(emp_taxID1)&gt;1,CONCATENATE(MID(emp_taxID1,1,2),".",MID(emp_taxID1,3,3),".",MID(emp_taxID1,6,3),".",MID(emp_taxID1,9,1),"-",MID(emp_taxID1,10,3),".",MID(emp_taxID1,13,3)),"-"))</f>
        <v>-</v>
      </c>
      <c r="M80" s="1299"/>
      <c r="N80" s="1299"/>
      <c r="O80" s="1299"/>
      <c r="P80" s="1299"/>
      <c r="Q80" s="1299"/>
      <c r="R80" s="1299"/>
      <c r="S80" s="1925"/>
      <c r="T80" s="1296" t="str">
        <f>IF('JAPANESE INCOME'!J149&gt;0,"-",IF(taxslip1="-","-",CONCATENATE(MID(taxslip1,1,1),".",MID(taxslip1,2,1),"-",MID(taxslip1,3,2),"-",MID(taxslip1,5,2),"-",MID(taxslip1,7,7))))</f>
        <v>.---</v>
      </c>
      <c r="U80" s="1297"/>
      <c r="V80" s="1297"/>
      <c r="W80" s="1298"/>
      <c r="X80" s="1929">
        <f>IF(OR('GENERAL INFO'!K5="X",'GENERAL INFO'!K10=""),IF('JAPANESE INCOME'!J149&gt;0,"-",'GENERAL INFO'!G113),"-")</f>
        <v>0</v>
      </c>
      <c r="Y80" s="1930"/>
      <c r="Z80" s="1930"/>
      <c r="AA80" s="1931"/>
      <c r="AB80" s="1300" t="str">
        <f>IF(('GENERAL INFO'!V133&gt;0),IF('JAPANESE INCOME'!J149&gt;0,"24","21"),"-")</f>
        <v>-</v>
      </c>
      <c r="AC80" s="1301"/>
      <c r="AD80" s="1301"/>
      <c r="AE80" s="1301"/>
      <c r="AF80" s="1302"/>
      <c r="AG80" s="1869">
        <f>IF('JAPANESE INCOME'!J149&gt;0,'JAPANESE INCOME'!J149,'GENERAL INFO'!G151)</f>
        <v>0</v>
      </c>
      <c r="AH80" s="1870"/>
      <c r="AI80" s="1870"/>
      <c r="AJ80" s="1870"/>
      <c r="AK80" s="1870"/>
      <c r="AL80" s="1870"/>
      <c r="AM80" s="1870"/>
      <c r="AN80" s="326"/>
      <c r="AO80" s="335"/>
      <c r="AP80" s="335"/>
      <c r="AQ80" s="335"/>
      <c r="AR80" s="335"/>
      <c r="AS80" s="335"/>
      <c r="AT80" s="335"/>
      <c r="AU80" s="335"/>
      <c r="AV80" s="335"/>
      <c r="AW80" s="335"/>
      <c r="AX80" s="335"/>
      <c r="AY80" s="335"/>
      <c r="AZ80" s="335"/>
      <c r="BA80" s="335"/>
      <c r="BB80" s="335"/>
      <c r="BC80" s="335"/>
    </row>
    <row r="81" spans="1:55" s="336" customFormat="1" ht="18.75" customHeight="1">
      <c r="A81" s="334"/>
      <c r="B81" s="1920"/>
      <c r="C81" s="1921"/>
      <c r="D81" s="1922"/>
      <c r="E81" s="1922"/>
      <c r="F81" s="1922"/>
      <c r="G81" s="1922"/>
      <c r="H81" s="1922"/>
      <c r="I81" s="1922"/>
      <c r="J81" s="1922"/>
      <c r="K81" s="1923"/>
      <c r="L81" s="1926"/>
      <c r="M81" s="1927"/>
      <c r="N81" s="1927"/>
      <c r="O81" s="1927"/>
      <c r="P81" s="1927"/>
      <c r="Q81" s="1927"/>
      <c r="R81" s="1927"/>
      <c r="S81" s="1928"/>
      <c r="T81" s="1921"/>
      <c r="U81" s="1922"/>
      <c r="V81" s="1922"/>
      <c r="W81" s="1923"/>
      <c r="X81" s="1932"/>
      <c r="Y81" s="1933"/>
      <c r="Z81" s="1933"/>
      <c r="AA81" s="1934"/>
      <c r="AB81" s="1935"/>
      <c r="AC81" s="1936"/>
      <c r="AD81" s="1936"/>
      <c r="AE81" s="1936"/>
      <c r="AF81" s="1937"/>
      <c r="AG81" s="377"/>
      <c r="AH81" s="1871"/>
      <c r="AI81" s="1871"/>
      <c r="AJ81" s="1871"/>
      <c r="AK81" s="1871"/>
      <c r="AL81" s="1871"/>
      <c r="AM81" s="1871"/>
      <c r="AN81" s="1344"/>
      <c r="AO81" s="335"/>
      <c r="AP81" s="335"/>
      <c r="AQ81" s="335"/>
      <c r="AR81" s="335"/>
      <c r="AS81" s="335"/>
      <c r="AT81" s="335"/>
      <c r="AU81" s="335"/>
      <c r="AV81" s="335"/>
      <c r="AW81" s="335"/>
      <c r="AX81" s="335"/>
      <c r="AY81" s="335"/>
      <c r="AZ81" s="335"/>
      <c r="BA81" s="335"/>
      <c r="BB81" s="335"/>
      <c r="BC81" s="335"/>
    </row>
    <row r="82" spans="1:55" s="336" customFormat="1" ht="3" customHeight="1">
      <c r="A82" s="334"/>
      <c r="B82" s="328"/>
      <c r="C82" s="373"/>
      <c r="D82" s="374"/>
      <c r="E82" s="374"/>
      <c r="F82" s="374"/>
      <c r="G82" s="374"/>
      <c r="H82" s="374"/>
      <c r="I82" s="374"/>
      <c r="J82" s="374"/>
      <c r="K82" s="375"/>
      <c r="L82" s="337"/>
      <c r="M82" s="337"/>
      <c r="N82" s="337"/>
      <c r="O82" s="337"/>
      <c r="P82" s="337"/>
      <c r="Q82" s="337"/>
      <c r="R82" s="337"/>
      <c r="S82" s="337"/>
      <c r="T82" s="294"/>
      <c r="U82" s="295"/>
      <c r="V82" s="295"/>
      <c r="W82" s="296"/>
      <c r="X82" s="329"/>
      <c r="Y82" s="330"/>
      <c r="Z82" s="329"/>
      <c r="AA82" s="329"/>
      <c r="AB82" s="331"/>
      <c r="AC82" s="329"/>
      <c r="AD82" s="330"/>
      <c r="AE82" s="329"/>
      <c r="AF82" s="332"/>
      <c r="AG82" s="329"/>
      <c r="AH82" s="329"/>
      <c r="AI82" s="329"/>
      <c r="AJ82" s="329"/>
      <c r="AK82" s="329"/>
      <c r="AL82" s="329"/>
      <c r="AM82" s="329"/>
      <c r="AN82" s="332"/>
      <c r="AO82" s="335"/>
      <c r="AP82" s="335"/>
      <c r="AQ82" s="335"/>
      <c r="AR82" s="335"/>
      <c r="AS82" s="335"/>
      <c r="AT82" s="335"/>
      <c r="AU82" s="335"/>
      <c r="AV82" s="335"/>
      <c r="AW82" s="335"/>
      <c r="AX82" s="335"/>
      <c r="AY82" s="335"/>
      <c r="AZ82" s="335"/>
      <c r="BA82" s="335"/>
      <c r="BB82" s="335"/>
      <c r="BC82" s="335"/>
    </row>
    <row r="83" spans="1:55" s="336" customFormat="1" ht="18.75" customHeight="1">
      <c r="A83" s="334"/>
      <c r="B83" s="338" t="s">
        <v>387</v>
      </c>
      <c r="C83" s="742" t="str">
        <f>IF(AB80="24",employer1,IF(employer2="","-",employer2))</f>
        <v>-</v>
      </c>
      <c r="D83" s="743"/>
      <c r="E83" s="743"/>
      <c r="F83" s="743"/>
      <c r="G83" s="743"/>
      <c r="H83" s="743"/>
      <c r="I83" s="743"/>
      <c r="J83" s="743"/>
      <c r="K83" s="744"/>
      <c r="L83" s="1938" t="str">
        <f>IF(AB81="24",emp_taxID1,IF(LEN(emp_taxID2)&gt;1,CONCATENATE(MID(emp_taxID2,1,2),".",MID(emp_taxID2,3,3),".",MID(emp_taxID2,6,3),".",MID(emp_taxID2,9,1),"-",MID(emp_taxID2,10,3),".",MID(emp_taxID2,13,3)),"-"))</f>
        <v>-</v>
      </c>
      <c r="M83" s="745"/>
      <c r="N83" s="745"/>
      <c r="O83" s="745"/>
      <c r="P83" s="745"/>
      <c r="Q83" s="745"/>
      <c r="R83" s="745"/>
      <c r="S83" s="1939"/>
      <c r="T83" s="742" t="str">
        <f>IF(AB80="24",'GENERAL INFO'!G112,IF(taxslip2="-","-",CONCATENATE(MID(taxslip2,1,1),".",MID(taxslip2,2,1),"-",MID(taxslip2,3,2),"-",MID(taxslip2,5,2),"-",MID(taxslip2,7,7))))</f>
        <v>.---</v>
      </c>
      <c r="U83" s="743"/>
      <c r="V83" s="743"/>
      <c r="W83" s="744"/>
      <c r="X83" s="1940" t="str">
        <f>IF(AB80="24",'GENERAL INFO'!G113,IF(C83="-","-",'GENERAL INFO'!L113))</f>
        <v>-</v>
      </c>
      <c r="Y83" s="1941"/>
      <c r="Z83" s="1941"/>
      <c r="AA83" s="1942"/>
      <c r="AB83" s="376" t="str">
        <f>IF(AND(AB80="24",'GENERAL INFO'!V133&gt;0),"21","-")</f>
        <v>-</v>
      </c>
      <c r="AC83" s="246"/>
      <c r="AD83" s="246"/>
      <c r="AE83" s="246"/>
      <c r="AF83" s="1943"/>
      <c r="AG83" s="376">
        <f>IF(AB80="24",'GENERAL INFO'!G151,'GENERAL INFO'!L151)</f>
        <v>0</v>
      </c>
      <c r="AH83" s="246"/>
      <c r="AI83" s="246"/>
      <c r="AJ83" s="246"/>
      <c r="AK83" s="246"/>
      <c r="AL83" s="246"/>
      <c r="AM83" s="246"/>
      <c r="AN83" s="333"/>
      <c r="AO83" s="335"/>
      <c r="AP83" s="335"/>
      <c r="AQ83" s="335"/>
      <c r="AR83" s="335"/>
      <c r="AS83" s="335"/>
      <c r="AT83" s="335"/>
      <c r="AU83" s="335"/>
      <c r="AV83" s="335"/>
      <c r="AW83" s="335"/>
      <c r="AX83" s="335"/>
      <c r="AY83" s="335"/>
      <c r="AZ83" s="335"/>
      <c r="BA83" s="335"/>
      <c r="BB83" s="335"/>
      <c r="BC83" s="335"/>
    </row>
    <row r="84" spans="1:55" s="336" customFormat="1" ht="18.75" customHeight="1">
      <c r="A84" s="334"/>
      <c r="B84" s="1920"/>
      <c r="C84" s="1921"/>
      <c r="D84" s="1922"/>
      <c r="E84" s="1922"/>
      <c r="F84" s="1922"/>
      <c r="G84" s="1922"/>
      <c r="H84" s="1922"/>
      <c r="I84" s="1922"/>
      <c r="J84" s="1922"/>
      <c r="K84" s="1923"/>
      <c r="L84" s="1926"/>
      <c r="M84" s="1927"/>
      <c r="N84" s="1927"/>
      <c r="O84" s="1927"/>
      <c r="P84" s="1927"/>
      <c r="Q84" s="1927"/>
      <c r="R84" s="1927"/>
      <c r="S84" s="1928"/>
      <c r="T84" s="1921"/>
      <c r="U84" s="1922"/>
      <c r="V84" s="1922"/>
      <c r="W84" s="1923"/>
      <c r="X84" s="1932"/>
      <c r="Y84" s="1933"/>
      <c r="Z84" s="1933"/>
      <c r="AA84" s="1934"/>
      <c r="AB84" s="377"/>
      <c r="AC84" s="1871"/>
      <c r="AD84" s="1871"/>
      <c r="AE84" s="1871"/>
      <c r="AF84" s="1944"/>
      <c r="AG84" s="377"/>
      <c r="AH84" s="1871"/>
      <c r="AI84" s="1871"/>
      <c r="AJ84" s="1871"/>
      <c r="AK84" s="1871"/>
      <c r="AL84" s="1871"/>
      <c r="AM84" s="1871"/>
      <c r="AN84" s="1344"/>
      <c r="AO84" s="335"/>
      <c r="AP84" s="335"/>
      <c r="AQ84" s="335"/>
      <c r="AR84" s="335"/>
      <c r="AS84" s="335"/>
      <c r="AT84" s="335"/>
      <c r="AU84" s="335"/>
      <c r="AV84" s="335"/>
      <c r="AW84" s="335"/>
      <c r="AX84" s="335"/>
      <c r="AY84" s="335"/>
      <c r="AZ84" s="335"/>
      <c r="BA84" s="335"/>
      <c r="BB84" s="335"/>
      <c r="BC84" s="335"/>
    </row>
    <row r="85" spans="1:55" s="336" customFormat="1" ht="3" customHeight="1">
      <c r="A85" s="334"/>
      <c r="B85" s="1311"/>
      <c r="C85" s="1296"/>
      <c r="D85" s="1297"/>
      <c r="E85" s="1297"/>
      <c r="F85" s="1297"/>
      <c r="G85" s="1297"/>
      <c r="H85" s="1297"/>
      <c r="I85" s="1297"/>
      <c r="J85" s="1297"/>
      <c r="K85" s="1298"/>
      <c r="L85" s="1299"/>
      <c r="M85" s="1299"/>
      <c r="N85" s="1299"/>
      <c r="O85" s="1299"/>
      <c r="P85" s="1299"/>
      <c r="Q85" s="1299"/>
      <c r="R85" s="1299"/>
      <c r="S85" s="1299"/>
      <c r="T85" s="1296"/>
      <c r="U85" s="1297"/>
      <c r="V85" s="1297"/>
      <c r="W85" s="1298"/>
      <c r="X85" s="1345"/>
      <c r="Y85" s="1346"/>
      <c r="Z85" s="1345"/>
      <c r="AA85" s="1345"/>
      <c r="AB85" s="1300"/>
      <c r="AC85" s="1301"/>
      <c r="AD85" s="1347"/>
      <c r="AE85" s="1301"/>
      <c r="AF85" s="1302"/>
      <c r="AG85" s="1869">
        <f>IF(C83=employer1,'GENERAL INFO'!L151,'GENERAL INFO'!Q151)</f>
        <v>0</v>
      </c>
      <c r="AH85" s="1870"/>
      <c r="AI85" s="1870"/>
      <c r="AJ85" s="1870"/>
      <c r="AK85" s="1870"/>
      <c r="AL85" s="1870"/>
      <c r="AM85" s="1870"/>
      <c r="AN85" s="1348"/>
      <c r="AO85" s="335"/>
      <c r="AP85" s="335"/>
      <c r="AQ85" s="335"/>
      <c r="AR85" s="335"/>
      <c r="AS85" s="335"/>
      <c r="AT85" s="335"/>
      <c r="AU85" s="335"/>
      <c r="AV85" s="335"/>
      <c r="AW85" s="335"/>
      <c r="AX85" s="335"/>
      <c r="AY85" s="335"/>
      <c r="AZ85" s="335"/>
      <c r="BA85" s="335"/>
      <c r="BB85" s="335"/>
      <c r="BC85" s="335"/>
    </row>
    <row r="86" spans="1:55" s="336" customFormat="1" ht="18.75" customHeight="1">
      <c r="A86" s="334"/>
      <c r="B86" s="338" t="s">
        <v>388</v>
      </c>
      <c r="C86" s="742" t="str">
        <f>IF(C83=employer2,employer3,IF(C83=employer1,employer2,"-"))</f>
        <v>-</v>
      </c>
      <c r="D86" s="743"/>
      <c r="E86" s="743"/>
      <c r="F86" s="743"/>
      <c r="G86" s="743"/>
      <c r="H86" s="743"/>
      <c r="I86" s="743"/>
      <c r="J86" s="743"/>
      <c r="K86" s="744"/>
      <c r="L86" s="1938" t="str">
        <f>IF(C83=employer1,IF(LEN(emp_taxID2)&gt;1,CONCATENATE(MID(emp_taxID2,1,2),".",MID(emp_taxID2,3,3),".",MID(emp_taxID2,6,3),".",MID(emp_taxID2,9,1),"-",MID(emp_taxID2,10,3),".",MID(emp_taxID2,13,3)),"-"),IF(LEN(emp_taxID3)&gt;1,CONCATENATE(MID(emp_taxID3,1,2),".",MID(emp_taxID3,3,3),".",MID(emp_taxID3,6,3),".",MID(emp_taxID3,9,1),"-",MID(emp_taxID3,10,3),".",MID(emp_taxID3,13,3)),"-"))</f>
        <v>-</v>
      </c>
      <c r="M86" s="745"/>
      <c r="N86" s="745"/>
      <c r="O86" s="745"/>
      <c r="P86" s="745"/>
      <c r="Q86" s="745"/>
      <c r="R86" s="745"/>
      <c r="S86" s="1939"/>
      <c r="T86" s="742" t="str">
        <f>IF(C83=employer2,IF(taxslip3="-","-",CONCATENATE(MID(taxslip3,1,1),".",MID(taxslip3,2,1),"-",MID(taxslip3,3,2),"-",MID(taxslip3,5,2),"-",MID(taxslip3,7,7))))</f>
        <v>-</v>
      </c>
      <c r="U86" s="743"/>
      <c r="V86" s="743"/>
      <c r="W86" s="744"/>
      <c r="X86" s="1940" t="str">
        <f>IF(C83=employer1,'GENERAL INFO'!L113,'GENERAL INFO'!Q113)</f>
        <v>-</v>
      </c>
      <c r="Y86" s="1941"/>
      <c r="Z86" s="1941"/>
      <c r="AA86" s="1942"/>
      <c r="AB86" s="376" t="str">
        <f>IF(C86="-","-","21")</f>
        <v>-</v>
      </c>
      <c r="AC86" s="246"/>
      <c r="AD86" s="246"/>
      <c r="AE86" s="246"/>
      <c r="AF86" s="1943"/>
      <c r="AG86" s="376"/>
      <c r="AH86" s="246"/>
      <c r="AI86" s="246"/>
      <c r="AJ86" s="246"/>
      <c r="AK86" s="246"/>
      <c r="AL86" s="246"/>
      <c r="AM86" s="246"/>
      <c r="AN86" s="333"/>
      <c r="AO86" s="335"/>
      <c r="AP86" s="335"/>
      <c r="AQ86" s="335"/>
      <c r="AR86" s="335"/>
      <c r="AS86" s="335"/>
      <c r="AT86" s="335"/>
      <c r="AU86" s="335"/>
      <c r="AV86" s="335"/>
      <c r="AW86" s="335"/>
      <c r="AX86" s="335"/>
      <c r="AY86" s="335"/>
      <c r="AZ86" s="335"/>
      <c r="BA86" s="335"/>
      <c r="BB86" s="335"/>
      <c r="BC86" s="335"/>
    </row>
    <row r="87" spans="1:55" s="336" customFormat="1" ht="18.75" customHeight="1">
      <c r="A87" s="334"/>
      <c r="B87" s="1920"/>
      <c r="C87" s="1921"/>
      <c r="D87" s="1922"/>
      <c r="E87" s="1922"/>
      <c r="F87" s="1922"/>
      <c r="G87" s="1922"/>
      <c r="H87" s="1922"/>
      <c r="I87" s="1922"/>
      <c r="J87" s="1922"/>
      <c r="K87" s="1923"/>
      <c r="L87" s="1926"/>
      <c r="M87" s="1927"/>
      <c r="N87" s="1927"/>
      <c r="O87" s="1927"/>
      <c r="P87" s="1927"/>
      <c r="Q87" s="1927"/>
      <c r="R87" s="1927"/>
      <c r="S87" s="1928"/>
      <c r="T87" s="1921"/>
      <c r="U87" s="1922"/>
      <c r="V87" s="1922"/>
      <c r="W87" s="1923"/>
      <c r="X87" s="1932"/>
      <c r="Y87" s="1933"/>
      <c r="Z87" s="1933"/>
      <c r="AA87" s="1934"/>
      <c r="AB87" s="377"/>
      <c r="AC87" s="1871"/>
      <c r="AD87" s="1871"/>
      <c r="AE87" s="1871"/>
      <c r="AF87" s="1944"/>
      <c r="AG87" s="377"/>
      <c r="AH87" s="1871"/>
      <c r="AI87" s="1871"/>
      <c r="AJ87" s="1871"/>
      <c r="AK87" s="1871"/>
      <c r="AL87" s="1871"/>
      <c r="AM87" s="1871"/>
      <c r="AN87" s="1344"/>
      <c r="AO87" s="335"/>
      <c r="AP87" s="335"/>
      <c r="AQ87" s="335"/>
      <c r="AR87" s="335"/>
      <c r="AS87" s="335"/>
      <c r="AT87" s="335"/>
      <c r="AU87" s="335"/>
      <c r="AV87" s="335"/>
      <c r="AW87" s="335"/>
      <c r="AX87" s="335"/>
      <c r="AY87" s="335"/>
      <c r="AZ87" s="335"/>
      <c r="BA87" s="335"/>
      <c r="BB87" s="335"/>
      <c r="BC87" s="335"/>
    </row>
    <row r="88" spans="1:55" s="336" customFormat="1" ht="3" customHeight="1">
      <c r="A88" s="334"/>
      <c r="B88" s="1311"/>
      <c r="C88" s="1296" t="str">
        <f>IF(C86=employer3,"-",employer3)</f>
        <v>-</v>
      </c>
      <c r="D88" s="1297"/>
      <c r="E88" s="1297"/>
      <c r="F88" s="1297"/>
      <c r="G88" s="1297"/>
      <c r="H88" s="1297"/>
      <c r="I88" s="1297"/>
      <c r="J88" s="1297"/>
      <c r="K88" s="1298"/>
      <c r="L88" s="1299"/>
      <c r="M88" s="1299"/>
      <c r="N88" s="1299"/>
      <c r="O88" s="1299"/>
      <c r="P88" s="1299"/>
      <c r="Q88" s="1299"/>
      <c r="R88" s="1299"/>
      <c r="S88" s="1299"/>
      <c r="T88" s="1296"/>
      <c r="U88" s="1297"/>
      <c r="V88" s="1297"/>
      <c r="W88" s="1298"/>
      <c r="X88" s="1345"/>
      <c r="Y88" s="1346"/>
      <c r="Z88" s="1345"/>
      <c r="AA88" s="1345"/>
      <c r="AB88" s="590"/>
      <c r="AC88" s="634"/>
      <c r="AD88" s="1347"/>
      <c r="AE88" s="634"/>
      <c r="AF88" s="1349"/>
      <c r="AG88" s="634"/>
      <c r="AH88" s="634"/>
      <c r="AI88" s="634"/>
      <c r="AJ88" s="634"/>
      <c r="AK88" s="634"/>
      <c r="AL88" s="634"/>
      <c r="AM88" s="634"/>
      <c r="AN88" s="1348"/>
      <c r="AO88" s="335"/>
      <c r="AP88" s="335"/>
      <c r="AQ88" s="335"/>
      <c r="AR88" s="335"/>
      <c r="AS88" s="335"/>
      <c r="AT88" s="335"/>
      <c r="AU88" s="335"/>
      <c r="AV88" s="335"/>
      <c r="AW88" s="335"/>
      <c r="AX88" s="335"/>
      <c r="AY88" s="335"/>
      <c r="AZ88" s="335"/>
      <c r="BA88" s="335"/>
      <c r="BB88" s="335"/>
      <c r="BC88" s="335"/>
    </row>
    <row r="89" spans="1:55" s="336" customFormat="1" ht="18.75" customHeight="1">
      <c r="A89" s="334"/>
      <c r="B89" s="338" t="s">
        <v>389</v>
      </c>
      <c r="C89" s="742"/>
      <c r="D89" s="743"/>
      <c r="E89" s="743"/>
      <c r="F89" s="743"/>
      <c r="G89" s="743"/>
      <c r="H89" s="743"/>
      <c r="I89" s="743"/>
      <c r="J89" s="743"/>
      <c r="K89" s="744"/>
      <c r="L89" s="1938" t="str">
        <f>IF(C86=employer3,"-",emp_taxID3)</f>
        <v>-</v>
      </c>
      <c r="M89" s="745"/>
      <c r="N89" s="745"/>
      <c r="O89" s="745"/>
      <c r="P89" s="745"/>
      <c r="Q89" s="745"/>
      <c r="R89" s="745"/>
      <c r="S89" s="1939"/>
      <c r="T89" s="742" t="str">
        <f>IF(C86=employer3,"-",'GENERAL INFO'!Q112)</f>
        <v>-</v>
      </c>
      <c r="U89" s="743"/>
      <c r="V89" s="743"/>
      <c r="W89" s="744"/>
      <c r="X89" s="1940" t="str">
        <f>IF(C86=employer3,"-",'GENERAL INFO'!Q113)</f>
        <v>-</v>
      </c>
      <c r="Y89" s="1941"/>
      <c r="Z89" s="1941"/>
      <c r="AA89" s="1942"/>
      <c r="AB89" s="746" t="str">
        <f>IF(C88="-","-","21")</f>
        <v>-</v>
      </c>
      <c r="AC89" s="252"/>
      <c r="AD89" s="252"/>
      <c r="AE89" s="252"/>
      <c r="AF89" s="747"/>
      <c r="AG89" s="376">
        <f>IF(C86=employer2,'GENERAL INFO'!Q151,0)</f>
        <v>0</v>
      </c>
      <c r="AH89" s="246"/>
      <c r="AI89" s="246"/>
      <c r="AJ89" s="246"/>
      <c r="AK89" s="246"/>
      <c r="AL89" s="246"/>
      <c r="AM89" s="246"/>
      <c r="AN89" s="333"/>
      <c r="AO89" s="335"/>
      <c r="AP89" s="335"/>
      <c r="AQ89" s="335"/>
      <c r="AR89" s="335"/>
      <c r="AS89" s="335"/>
      <c r="AT89" s="335"/>
      <c r="AU89" s="335"/>
      <c r="AV89" s="335"/>
      <c r="AW89" s="335"/>
      <c r="AX89" s="335"/>
      <c r="AY89" s="335"/>
      <c r="AZ89" s="335"/>
      <c r="BA89" s="335"/>
      <c r="BB89" s="335"/>
      <c r="BC89" s="335"/>
    </row>
    <row r="90" spans="1:55" s="336" customFormat="1" ht="18.75" customHeight="1">
      <c r="A90" s="334"/>
      <c r="B90" s="1920"/>
      <c r="C90" s="1921"/>
      <c r="D90" s="1922"/>
      <c r="E90" s="1922"/>
      <c r="F90" s="1922"/>
      <c r="G90" s="1922"/>
      <c r="H90" s="1922"/>
      <c r="I90" s="1922"/>
      <c r="J90" s="1922"/>
      <c r="K90" s="1923"/>
      <c r="L90" s="1926"/>
      <c r="M90" s="1927"/>
      <c r="N90" s="1927"/>
      <c r="O90" s="1927"/>
      <c r="P90" s="1927"/>
      <c r="Q90" s="1927"/>
      <c r="R90" s="1927"/>
      <c r="S90" s="1928"/>
      <c r="T90" s="1921"/>
      <c r="U90" s="1922"/>
      <c r="V90" s="1922"/>
      <c r="W90" s="1923"/>
      <c r="X90" s="1932"/>
      <c r="Y90" s="1933"/>
      <c r="Z90" s="1933"/>
      <c r="AA90" s="1934"/>
      <c r="AB90" s="1935"/>
      <c r="AC90" s="1936"/>
      <c r="AD90" s="1936"/>
      <c r="AE90" s="1936"/>
      <c r="AF90" s="1937"/>
      <c r="AG90" s="377"/>
      <c r="AH90" s="1871"/>
      <c r="AI90" s="1871"/>
      <c r="AJ90" s="1871"/>
      <c r="AK90" s="1871"/>
      <c r="AL90" s="1871"/>
      <c r="AM90" s="1871"/>
      <c r="AN90" s="1344"/>
      <c r="AO90" s="335"/>
      <c r="AP90" s="335"/>
      <c r="AQ90" s="335"/>
      <c r="AR90" s="335"/>
      <c r="AS90" s="335"/>
      <c r="AT90" s="335"/>
      <c r="AU90" s="335"/>
      <c r="AV90" s="335"/>
      <c r="AW90" s="335"/>
      <c r="AX90" s="335"/>
      <c r="AY90" s="335"/>
      <c r="AZ90" s="335"/>
      <c r="BA90" s="335"/>
      <c r="BB90" s="335"/>
      <c r="BC90" s="335"/>
    </row>
    <row r="91" spans="1:40" s="336" customFormat="1" ht="3" customHeight="1">
      <c r="A91" s="334"/>
      <c r="B91" s="328"/>
      <c r="C91" s="742"/>
      <c r="D91" s="743"/>
      <c r="E91" s="743"/>
      <c r="F91" s="743"/>
      <c r="G91" s="743"/>
      <c r="H91" s="743"/>
      <c r="I91" s="743"/>
      <c r="J91" s="743"/>
      <c r="K91" s="744"/>
      <c r="L91" s="745"/>
      <c r="M91" s="745"/>
      <c r="N91" s="745"/>
      <c r="O91" s="745"/>
      <c r="P91" s="745"/>
      <c r="Q91" s="745"/>
      <c r="R91" s="745"/>
      <c r="S91" s="745"/>
      <c r="T91" s="742"/>
      <c r="U91" s="743"/>
      <c r="V91" s="743"/>
      <c r="W91" s="744"/>
      <c r="X91" s="329"/>
      <c r="Y91" s="330"/>
      <c r="Z91" s="329"/>
      <c r="AA91" s="329"/>
      <c r="AB91" s="746"/>
      <c r="AC91" s="252"/>
      <c r="AD91" s="733"/>
      <c r="AE91" s="252"/>
      <c r="AF91" s="747"/>
      <c r="AG91" s="38"/>
      <c r="AH91" s="38"/>
      <c r="AI91" s="38"/>
      <c r="AJ91" s="38"/>
      <c r="AK91" s="38"/>
      <c r="AL91" s="38"/>
      <c r="AM91" s="38"/>
      <c r="AN91" s="332"/>
    </row>
    <row r="92" spans="1:41" s="336" customFormat="1" ht="18.75" customHeight="1">
      <c r="A92" s="334"/>
      <c r="B92" s="338" t="s">
        <v>390</v>
      </c>
      <c r="C92" s="742" t="s">
        <v>30</v>
      </c>
      <c r="D92" s="743"/>
      <c r="E92" s="743"/>
      <c r="F92" s="743"/>
      <c r="G92" s="743"/>
      <c r="H92" s="743"/>
      <c r="I92" s="743"/>
      <c r="J92" s="743"/>
      <c r="K92" s="744"/>
      <c r="L92" s="1938" t="s">
        <v>30</v>
      </c>
      <c r="M92" s="745"/>
      <c r="N92" s="745"/>
      <c r="O92" s="745"/>
      <c r="P92" s="745"/>
      <c r="Q92" s="745"/>
      <c r="R92" s="745"/>
      <c r="S92" s="1939"/>
      <c r="T92" s="742" t="s">
        <v>30</v>
      </c>
      <c r="U92" s="743"/>
      <c r="V92" s="743"/>
      <c r="W92" s="744"/>
      <c r="X92" s="742" t="s">
        <v>30</v>
      </c>
      <c r="Y92" s="743"/>
      <c r="Z92" s="743"/>
      <c r="AA92" s="744"/>
      <c r="AB92" s="746" t="s">
        <v>30</v>
      </c>
      <c r="AC92" s="252"/>
      <c r="AD92" s="252"/>
      <c r="AE92" s="252"/>
      <c r="AF92" s="747"/>
      <c r="AG92" s="376">
        <v>0</v>
      </c>
      <c r="AH92" s="246"/>
      <c r="AI92" s="246"/>
      <c r="AJ92" s="246"/>
      <c r="AK92" s="246"/>
      <c r="AL92" s="246"/>
      <c r="AM92" s="246"/>
      <c r="AN92" s="333"/>
      <c r="AO92" s="334"/>
    </row>
    <row r="93" spans="1:41" s="336" customFormat="1" ht="18.75" customHeight="1">
      <c r="A93" s="334"/>
      <c r="B93" s="369" t="s">
        <v>729</v>
      </c>
      <c r="C93" s="1921"/>
      <c r="D93" s="1922"/>
      <c r="E93" s="1922"/>
      <c r="F93" s="1922"/>
      <c r="G93" s="1922"/>
      <c r="H93" s="1922"/>
      <c r="I93" s="1922"/>
      <c r="J93" s="1922"/>
      <c r="K93" s="1923"/>
      <c r="L93" s="1926"/>
      <c r="M93" s="1927"/>
      <c r="N93" s="1927"/>
      <c r="O93" s="1927"/>
      <c r="P93" s="1927"/>
      <c r="Q93" s="1927"/>
      <c r="R93" s="1927"/>
      <c r="S93" s="1928"/>
      <c r="T93" s="1921"/>
      <c r="U93" s="1922"/>
      <c r="V93" s="1922"/>
      <c r="W93" s="1923"/>
      <c r="X93" s="1921"/>
      <c r="Y93" s="1922"/>
      <c r="Z93" s="1922"/>
      <c r="AA93" s="1923"/>
      <c r="AB93" s="1935"/>
      <c r="AC93" s="1936"/>
      <c r="AD93" s="1936"/>
      <c r="AE93" s="1936"/>
      <c r="AF93" s="1937"/>
      <c r="AG93" s="377"/>
      <c r="AH93" s="1871"/>
      <c r="AI93" s="1871"/>
      <c r="AJ93" s="1871"/>
      <c r="AK93" s="1871"/>
      <c r="AL93" s="1871"/>
      <c r="AM93" s="1871"/>
      <c r="AN93" s="327"/>
      <c r="AO93" s="334"/>
    </row>
    <row r="94" spans="1:41" ht="3" customHeight="1">
      <c r="A94" s="4"/>
      <c r="B94" s="146"/>
      <c r="C94" s="1879" t="s">
        <v>730</v>
      </c>
      <c r="D94" s="1292"/>
      <c r="E94" s="1292"/>
      <c r="F94" s="1292"/>
      <c r="G94" s="1292"/>
      <c r="H94" s="1292"/>
      <c r="I94" s="1292"/>
      <c r="J94" s="1292"/>
      <c r="K94" s="1292"/>
      <c r="L94" s="1292"/>
      <c r="M94" s="1292"/>
      <c r="N94" s="1292"/>
      <c r="O94" s="1292"/>
      <c r="P94" s="1292"/>
      <c r="Q94" s="1292"/>
      <c r="R94" s="1292"/>
      <c r="S94" s="1292"/>
      <c r="T94" s="1292"/>
      <c r="U94" s="1292"/>
      <c r="V94" s="1292"/>
      <c r="W94" s="1292"/>
      <c r="X94" s="1292"/>
      <c r="Y94" s="1292"/>
      <c r="Z94" s="1292"/>
      <c r="AA94" s="1880"/>
      <c r="AB94" s="169"/>
      <c r="AC94" s="170"/>
      <c r="AD94" s="170"/>
      <c r="AE94" s="142" t="s">
        <v>731</v>
      </c>
      <c r="AF94" s="1895"/>
      <c r="AG94" s="264"/>
      <c r="AH94" s="264"/>
      <c r="AI94" s="264"/>
      <c r="AJ94" s="265"/>
      <c r="AK94" s="265"/>
      <c r="AL94" s="265"/>
      <c r="AM94" s="265"/>
      <c r="AN94" s="276"/>
      <c r="AO94" s="4"/>
    </row>
    <row r="95" spans="1:41" ht="15" customHeight="1">
      <c r="A95" s="4"/>
      <c r="B95" s="141"/>
      <c r="C95" s="1004"/>
      <c r="D95" s="982"/>
      <c r="E95" s="982"/>
      <c r="F95" s="982"/>
      <c r="G95" s="982"/>
      <c r="H95" s="982"/>
      <c r="I95" s="982"/>
      <c r="J95" s="982"/>
      <c r="K95" s="982"/>
      <c r="L95" s="982"/>
      <c r="M95" s="982"/>
      <c r="N95" s="982"/>
      <c r="O95" s="982"/>
      <c r="P95" s="982"/>
      <c r="Q95" s="982"/>
      <c r="R95" s="982"/>
      <c r="S95" s="982"/>
      <c r="T95" s="982"/>
      <c r="U95" s="982"/>
      <c r="V95" s="982"/>
      <c r="W95" s="982"/>
      <c r="X95" s="982"/>
      <c r="Y95" s="982"/>
      <c r="Z95" s="982"/>
      <c r="AA95" s="1881"/>
      <c r="AB95" s="158"/>
      <c r="AC95" s="99"/>
      <c r="AD95" s="99"/>
      <c r="AE95" s="141"/>
      <c r="AF95" s="297"/>
      <c r="AG95" s="376">
        <f>SUM(AG80:AM93)</f>
        <v>0</v>
      </c>
      <c r="AH95" s="246"/>
      <c r="AI95" s="246"/>
      <c r="AJ95" s="246"/>
      <c r="AK95" s="246"/>
      <c r="AL95" s="246"/>
      <c r="AM95" s="246"/>
      <c r="AN95" s="258"/>
      <c r="AO95" s="4"/>
    </row>
    <row r="96" spans="1:41" ht="15" customHeight="1">
      <c r="A96" s="4"/>
      <c r="B96" s="143"/>
      <c r="C96" s="1004"/>
      <c r="D96" s="982"/>
      <c r="E96" s="982"/>
      <c r="F96" s="982"/>
      <c r="G96" s="982"/>
      <c r="H96" s="982"/>
      <c r="I96" s="982"/>
      <c r="J96" s="982"/>
      <c r="K96" s="982"/>
      <c r="L96" s="982"/>
      <c r="M96" s="982"/>
      <c r="N96" s="982"/>
      <c r="O96" s="982"/>
      <c r="P96" s="982"/>
      <c r="Q96" s="982"/>
      <c r="R96" s="982"/>
      <c r="S96" s="982"/>
      <c r="T96" s="982"/>
      <c r="U96" s="982"/>
      <c r="V96" s="982"/>
      <c r="W96" s="982"/>
      <c r="X96" s="982"/>
      <c r="Y96" s="982"/>
      <c r="Z96" s="982"/>
      <c r="AA96" s="1881"/>
      <c r="AB96" s="158"/>
      <c r="AC96" s="99"/>
      <c r="AD96" s="99"/>
      <c r="AE96" s="141"/>
      <c r="AF96" s="297"/>
      <c r="AG96" s="376"/>
      <c r="AH96" s="246"/>
      <c r="AI96" s="246"/>
      <c r="AJ96" s="246"/>
      <c r="AK96" s="246"/>
      <c r="AL96" s="246"/>
      <c r="AM96" s="246"/>
      <c r="AN96" s="258"/>
      <c r="AO96" s="4"/>
    </row>
    <row r="97" spans="1:41" customFormat="1" ht="3" customHeight="1">
      <c r="A97" s="4"/>
      <c r="B97" s="155"/>
      <c r="C97" s="1897"/>
      <c r="D97" s="1898"/>
      <c r="E97" s="1898"/>
      <c r="F97" s="1898"/>
      <c r="G97" s="1898"/>
      <c r="H97" s="1898"/>
      <c r="I97" s="1898"/>
      <c r="J97" s="1898"/>
      <c r="K97" s="1898"/>
      <c r="L97" s="1898"/>
      <c r="M97" s="1898"/>
      <c r="N97" s="1898"/>
      <c r="O97" s="1898"/>
      <c r="P97" s="1898"/>
      <c r="Q97" s="1898"/>
      <c r="R97" s="1898"/>
      <c r="S97" s="1898"/>
      <c r="T97" s="1898"/>
      <c r="U97" s="1898"/>
      <c r="V97" s="1898"/>
      <c r="W97" s="1898"/>
      <c r="X97" s="1898"/>
      <c r="Y97" s="1898"/>
      <c r="Z97" s="1898"/>
      <c r="AA97" s="1899"/>
      <c r="AB97" s="159"/>
      <c r="AC97" s="156"/>
      <c r="AD97" s="156"/>
      <c r="AE97" s="1293"/>
      <c r="AF97" s="1896"/>
      <c r="AG97" s="277"/>
      <c r="AH97" s="277"/>
      <c r="AI97" s="277"/>
      <c r="AJ97" s="108"/>
      <c r="AK97" s="108"/>
      <c r="AL97" s="108"/>
      <c r="AM97" s="108"/>
      <c r="AN97" s="278"/>
      <c r="AO97" s="4"/>
    </row>
    <row r="98" spans="1:41" customFormat="1" ht="11.25" customHeight="1">
      <c r="A98" s="4"/>
      <c r="B98" s="15"/>
      <c r="C98" s="252"/>
      <c r="D98" s="252"/>
      <c r="E98" s="252"/>
      <c r="F98" s="252"/>
      <c r="G98" s="252"/>
      <c r="H98" s="252"/>
      <c r="I98" s="252"/>
      <c r="J98" s="252"/>
      <c r="K98" s="252"/>
      <c r="L98" s="252"/>
      <c r="M98" s="252"/>
      <c r="N98" s="252"/>
      <c r="O98" s="252"/>
      <c r="P98" s="252"/>
      <c r="Q98" s="252"/>
      <c r="R98" s="252"/>
      <c r="S98" s="252"/>
      <c r="T98" s="252"/>
      <c r="U98" s="252"/>
      <c r="V98" s="252"/>
      <c r="W98" s="252"/>
      <c r="X98" s="252"/>
      <c r="Y98" s="252"/>
      <c r="Z98" s="252"/>
      <c r="AA98" s="252"/>
      <c r="AB98" s="66"/>
      <c r="AC98" s="66"/>
      <c r="AD98" s="66"/>
      <c r="AE98" s="252"/>
      <c r="AF98" s="252"/>
      <c r="AG98" s="4" t="s">
        <v>732</v>
      </c>
      <c r="AH98" s="6"/>
      <c r="AI98" s="68"/>
      <c r="AJ98" s="44"/>
      <c r="AK98" s="44"/>
      <c r="AL98" s="44"/>
      <c r="AM98" s="44"/>
      <c r="AN98" s="44"/>
      <c r="AO98" s="4"/>
    </row>
    <row r="99" spans="1:41" customFormat="1" ht="14.25" customHeight="1">
      <c r="A99" s="4"/>
      <c r="B99" s="15"/>
      <c r="C99" s="252"/>
      <c r="D99" s="252"/>
      <c r="E99" s="252"/>
      <c r="F99" s="252"/>
      <c r="G99" s="252"/>
      <c r="H99" s="252"/>
      <c r="I99" s="252"/>
      <c r="J99" s="252"/>
      <c r="K99" s="252"/>
      <c r="L99" s="252"/>
      <c r="M99" s="252"/>
      <c r="N99" s="252"/>
      <c r="O99" s="252"/>
      <c r="P99" s="252"/>
      <c r="Q99" s="252"/>
      <c r="R99" s="252"/>
      <c r="S99" s="252"/>
      <c r="T99" s="252"/>
      <c r="U99" s="252"/>
      <c r="V99" s="252"/>
      <c r="W99" s="252"/>
      <c r="X99" s="252"/>
      <c r="Y99" s="252"/>
      <c r="Z99" s="252"/>
      <c r="AA99" s="252"/>
      <c r="AB99" s="66"/>
      <c r="AC99" s="66"/>
      <c r="AD99" s="66"/>
      <c r="AE99" s="252"/>
      <c r="AF99" s="252"/>
      <c r="AG99" s="4"/>
      <c r="AH99" s="5"/>
      <c r="AI99" s="68"/>
      <c r="AJ99" s="44"/>
      <c r="AK99" s="44"/>
      <c r="AL99" s="44"/>
      <c r="AM99" s="44"/>
      <c r="AN99" s="44"/>
      <c r="AO99" s="4"/>
    </row>
    <row r="100" spans="1:41" customFormat="1" ht="14.25" customHeight="1">
      <c r="A100" s="4"/>
      <c r="B100" s="15"/>
      <c r="C100" s="252"/>
      <c r="D100" s="252"/>
      <c r="E100" s="252"/>
      <c r="F100" s="252"/>
      <c r="G100" s="252"/>
      <c r="H100" s="252"/>
      <c r="I100" s="252"/>
      <c r="J100" s="252"/>
      <c r="K100" s="252"/>
      <c r="L100" s="252"/>
      <c r="M100" s="252"/>
      <c r="N100" s="252"/>
      <c r="O100" s="252"/>
      <c r="P100" s="252"/>
      <c r="Q100" s="252"/>
      <c r="R100" s="252"/>
      <c r="S100" s="252"/>
      <c r="T100" s="252"/>
      <c r="U100" s="252"/>
      <c r="V100" s="252"/>
      <c r="W100" s="252"/>
      <c r="X100" s="252"/>
      <c r="Y100" s="252"/>
      <c r="Z100" s="252"/>
      <c r="AA100" s="252"/>
      <c r="AB100" s="66"/>
      <c r="AC100" s="66"/>
      <c r="AD100" s="66"/>
      <c r="AE100" s="252"/>
      <c r="AF100" s="252"/>
      <c r="AG100" s="4"/>
      <c r="AH100" s="5"/>
      <c r="AI100" s="68"/>
      <c r="AJ100" s="44"/>
      <c r="AK100" s="44"/>
      <c r="AL100" s="44"/>
      <c r="AM100" s="44"/>
      <c r="AN100" s="44"/>
      <c r="AO100" s="4"/>
    </row>
    <row r="101" spans="1:41" ht="14.25" customHeight="1">
      <c r="A101" s="4"/>
      <c r="B101" s="908" t="s">
        <v>637</v>
      </c>
      <c r="C101" s="908"/>
      <c r="D101" s="4"/>
      <c r="E101" s="4"/>
      <c r="F101" s="4"/>
      <c r="G101" s="4"/>
      <c r="H101" s="4"/>
      <c r="I101" s="4"/>
      <c r="J101" s="4"/>
      <c r="K101" s="4"/>
      <c r="L101" s="41"/>
      <c r="M101" s="4"/>
      <c r="N101" s="54"/>
      <c r="O101" s="54"/>
      <c r="P101" s="54"/>
      <c r="Q101" s="54"/>
      <c r="R101" s="54"/>
      <c r="S101" s="54"/>
      <c r="T101" s="54"/>
      <c r="U101" s="16"/>
      <c r="V101" s="16"/>
      <c r="W101" s="16"/>
      <c r="X101" s="16"/>
      <c r="Y101" s="16"/>
      <c r="Z101" s="16"/>
      <c r="AA101" s="16"/>
      <c r="AB101" s="16"/>
      <c r="AC101" s="16"/>
      <c r="AI101" s="6"/>
      <c r="AJ101" s="6"/>
      <c r="AK101" s="6"/>
      <c r="AL101" s="6"/>
      <c r="AN101" s="6"/>
      <c r="AO101" s="4"/>
    </row>
    <row r="102" spans="1:41" ht="12.75" customHeight="1">
      <c r="A102" s="4"/>
      <c r="B102" s="908" t="s">
        <v>62</v>
      </c>
      <c r="C102" s="913" t="s">
        <v>733</v>
      </c>
      <c r="D102" s="62"/>
      <c r="E102" s="4"/>
      <c r="F102" s="4"/>
      <c r="G102" s="4"/>
      <c r="H102" s="4"/>
      <c r="I102" s="4"/>
      <c r="J102" s="4"/>
      <c r="K102" s="4"/>
      <c r="L102" s="41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E102" s="5"/>
      <c r="AI102" s="5"/>
      <c r="AJ102" s="5"/>
      <c r="AK102" s="5"/>
      <c r="AL102" s="5"/>
      <c r="AN102" s="5"/>
      <c r="AO102" s="4"/>
    </row>
    <row r="103" spans="1:40" ht="12" customHeight="1">
      <c r="A103" s="4"/>
      <c r="B103" s="907"/>
      <c r="C103" s="913" t="s">
        <v>734</v>
      </c>
      <c r="D103" s="62"/>
      <c r="E103" s="4"/>
      <c r="F103" s="4"/>
      <c r="G103" s="4"/>
      <c r="H103" s="4"/>
      <c r="I103" s="4"/>
      <c r="J103" s="4"/>
      <c r="K103" s="4"/>
      <c r="L103" s="41"/>
      <c r="M103" s="4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N103" s="4"/>
    </row>
    <row r="104" spans="2:40" ht="15" customHeight="1">
      <c r="B104" s="907"/>
      <c r="C104" s="1014" t="s">
        <v>735</v>
      </c>
      <c r="D104" s="88"/>
      <c r="E104" s="88"/>
      <c r="F104" s="88"/>
      <c r="G104" s="88"/>
      <c r="H104" s="88"/>
      <c r="I104" s="88"/>
      <c r="J104" s="88"/>
      <c r="K104" s="88"/>
      <c r="L104" s="113"/>
      <c r="M104" s="88"/>
      <c r="N104" s="44"/>
      <c r="O104" s="44"/>
      <c r="P104" s="44"/>
      <c r="Q104" s="44"/>
      <c r="R104" s="44"/>
      <c r="S104" s="44"/>
      <c r="T104" s="44"/>
      <c r="U104" s="44"/>
      <c r="V104" s="44"/>
      <c r="W104" s="88"/>
      <c r="X104" s="88"/>
      <c r="Y104" s="88"/>
      <c r="Z104" s="88"/>
      <c r="AA104" s="88"/>
      <c r="AB104" s="88"/>
      <c r="AC104" s="88"/>
      <c r="AD104" s="88"/>
      <c r="AE104" s="88"/>
      <c r="AN104" s="68"/>
    </row>
    <row r="105" spans="3:3" ht="15" customHeight="1">
      <c r="C105" s="62"/>
    </row>
    <row r="106" spans="3:3" ht="15" customHeight="1">
      <c r="C106" s="62"/>
    </row>
    <row r="107" spans="3:3" ht="15" customHeight="1" thickBot="1">
      <c r="C107" s="62"/>
    </row>
    <row r="108" spans="2:40" ht="16.5" customHeight="1" thickBot="1">
      <c r="B108" s="1015" t="s">
        <v>736</v>
      </c>
      <c r="C108" s="194"/>
      <c r="D108" s="194"/>
      <c r="E108" s="194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4"/>
      <c r="U108" s="290"/>
      <c r="V108" s="290"/>
      <c r="W108" s="290"/>
      <c r="X108" s="291"/>
      <c r="AD108" s="62" t="s">
        <v>737</v>
      </c>
      <c r="AE108" s="62"/>
      <c r="AF108" s="62"/>
      <c r="AG108" s="1350">
        <v>1</v>
      </c>
      <c r="AH108" s="58" t="s">
        <v>738</v>
      </c>
      <c r="AI108" s="1350">
        <v>1</v>
      </c>
      <c r="AJ108" s="62" t="s">
        <v>739</v>
      </c>
      <c r="AK108" s="11"/>
      <c r="AL108" s="11"/>
      <c r="AM108" s="11"/>
      <c r="AN108" s="11"/>
    </row>
    <row r="109" spans="2:40" ht="16.5" customHeight="1">
      <c r="B109" s="191"/>
      <c r="C109" s="191"/>
      <c r="D109" s="191"/>
      <c r="E109" s="191"/>
      <c r="F109" s="191"/>
      <c r="G109" s="191"/>
      <c r="H109" s="191"/>
      <c r="I109" s="191"/>
      <c r="J109" s="191"/>
      <c r="K109" s="191"/>
      <c r="L109" s="191"/>
      <c r="M109" s="191"/>
      <c r="N109" s="191"/>
      <c r="O109" s="191"/>
      <c r="P109" s="191"/>
      <c r="Q109" s="191"/>
      <c r="R109" s="191"/>
      <c r="S109" s="191"/>
      <c r="T109" s="191"/>
      <c r="U109" s="191"/>
      <c r="AD109" s="62"/>
      <c r="AE109" s="62"/>
      <c r="AF109" s="62"/>
      <c r="AG109" s="62"/>
      <c r="AH109" s="58"/>
      <c r="AI109" s="62"/>
      <c r="AJ109" s="62"/>
      <c r="AK109" s="11"/>
      <c r="AL109" s="11"/>
      <c r="AM109" s="11"/>
      <c r="AN109" s="11"/>
    </row>
    <row r="110" spans="2:40" ht="16.5" customHeight="1">
      <c r="B110" s="191"/>
      <c r="C110" s="191"/>
      <c r="D110" s="191"/>
      <c r="E110" s="191"/>
      <c r="F110" s="191"/>
      <c r="G110" s="191"/>
      <c r="H110" s="191"/>
      <c r="I110" s="191"/>
      <c r="J110" s="191"/>
      <c r="K110" s="191"/>
      <c r="L110" s="191"/>
      <c r="M110" s="191"/>
      <c r="N110" s="191"/>
      <c r="O110" s="191"/>
      <c r="P110" s="191"/>
      <c r="Q110" s="191"/>
      <c r="R110" s="191"/>
      <c r="S110" s="191"/>
      <c r="T110" s="191"/>
      <c r="U110" s="191"/>
      <c r="AD110" s="62"/>
      <c r="AE110" s="62"/>
      <c r="AF110" s="62"/>
      <c r="AG110" s="62"/>
      <c r="AH110" s="58"/>
      <c r="AI110" s="62"/>
      <c r="AJ110" s="62"/>
      <c r="AK110" s="11"/>
      <c r="AL110" s="11"/>
      <c r="AM110" s="11"/>
      <c r="AN110" s="11"/>
    </row>
    <row r="111" spans="2:40" ht="16.5" customHeight="1">
      <c r="B111" s="191"/>
      <c r="C111" s="191"/>
      <c r="D111" s="191"/>
      <c r="E111" s="191"/>
      <c r="F111" s="191"/>
      <c r="G111" s="191"/>
      <c r="H111" s="191"/>
      <c r="I111" s="191"/>
      <c r="J111" s="191"/>
      <c r="K111" s="191"/>
      <c r="L111" s="191"/>
      <c r="M111" s="191"/>
      <c r="N111" s="191"/>
      <c r="O111" s="191"/>
      <c r="P111" s="191"/>
      <c r="Q111" s="191"/>
      <c r="R111" s="191"/>
      <c r="S111" s="191"/>
      <c r="T111" s="191"/>
      <c r="U111" s="191"/>
      <c r="AD111" s="62"/>
      <c r="AE111" s="62"/>
      <c r="AF111" s="62"/>
      <c r="AG111" s="62"/>
      <c r="AH111" s="58"/>
      <c r="AI111" s="62"/>
      <c r="AJ111" s="62"/>
      <c r="AK111" s="11"/>
      <c r="AL111" s="11"/>
      <c r="AM111" s="11"/>
      <c r="AN111" s="11"/>
    </row>
    <row r="112" spans="1:41" customHeight="1">
      <c r="A112" s="1"/>
      <c r="B112" s="4"/>
      <c r="C112" s="4"/>
      <c r="D112" s="4"/>
      <c r="AO112" s="1"/>
    </row>
    <row r="115" spans="17:26" customHeight="1"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5:26" customHeight="1">
      <c r="E116" s="107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2:26" customHeight="1">
      <c r="B117" s="6"/>
      <c r="C117" s="6"/>
      <c r="E117" s="107"/>
      <c r="F117" s="6"/>
      <c r="G117" s="6"/>
      <c r="H117" s="6"/>
      <c r="I117" s="6"/>
      <c r="J117" s="6"/>
      <c r="K117" s="6"/>
      <c r="L117" s="8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9" spans="2:26" customHeight="1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8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</sheetData>
  <sheetProtection password="BDAF" sheet="1" objects="1" scenarios="1" selectLockedCells="1" selectUnlockedCells="1"/>
  <mergeCells count="128">
    <mergeCell ref="L86:S87"/>
    <mergeCell ref="T86:W87"/>
    <mergeCell ref="X86:AA87"/>
    <mergeCell ref="AB86:AF87"/>
    <mergeCell ref="C94:AA97"/>
    <mergeCell ref="AE94:AF97"/>
    <mergeCell ref="AG95:AM96"/>
    <mergeCell ref="C92:K93"/>
    <mergeCell ref="L92:S93"/>
    <mergeCell ref="T92:W93"/>
    <mergeCell ref="X92:AA93"/>
    <mergeCell ref="AB92:AF93"/>
    <mergeCell ref="AG92:AM93"/>
    <mergeCell ref="B80:B81"/>
    <mergeCell ref="C80:K81"/>
    <mergeCell ref="L80:S81"/>
    <mergeCell ref="T80:W81"/>
    <mergeCell ref="X80:AA81"/>
    <mergeCell ref="AB80:AF81"/>
    <mergeCell ref="AG85:AM87"/>
    <mergeCell ref="C88:K90"/>
    <mergeCell ref="AG89:AM90"/>
    <mergeCell ref="AG80:AM81"/>
    <mergeCell ref="B83:B84"/>
    <mergeCell ref="C83:K84"/>
    <mergeCell ref="L83:S84"/>
    <mergeCell ref="T83:W84"/>
    <mergeCell ref="X83:AA84"/>
    <mergeCell ref="AB83:AF84"/>
    <mergeCell ref="AG83:AM84"/>
    <mergeCell ref="B89:B90"/>
    <mergeCell ref="L89:S90"/>
    <mergeCell ref="T89:W90"/>
    <mergeCell ref="X89:AA90"/>
    <mergeCell ref="AB89:AF90"/>
    <mergeCell ref="B86:B87"/>
    <mergeCell ref="C86:K87"/>
    <mergeCell ref="AG76:AN77"/>
    <mergeCell ref="T77:W77"/>
    <mergeCell ref="X77:AA77"/>
    <mergeCell ref="AB77:AF77"/>
    <mergeCell ref="T78:W79"/>
    <mergeCell ref="X78:AA79"/>
    <mergeCell ref="AB69:AN69"/>
    <mergeCell ref="B75:B77"/>
    <mergeCell ref="C75:K75"/>
    <mergeCell ref="L75:S75"/>
    <mergeCell ref="T75:AA76"/>
    <mergeCell ref="AB75:AF75"/>
    <mergeCell ref="AG75:AN75"/>
    <mergeCell ref="C76:K77"/>
    <mergeCell ref="L76:S77"/>
    <mergeCell ref="AB76:AF76"/>
    <mergeCell ref="C79:K79"/>
    <mergeCell ref="L79:S79"/>
    <mergeCell ref="AB79:AF79"/>
    <mergeCell ref="AG79:AN79"/>
    <mergeCell ref="B64:B65"/>
    <mergeCell ref="C64:AA65"/>
    <mergeCell ref="AB64:AM65"/>
    <mergeCell ref="Z66:AA68"/>
    <mergeCell ref="AB66:AM68"/>
    <mergeCell ref="B67:B68"/>
    <mergeCell ref="C67:Y68"/>
    <mergeCell ref="AB58:AM60"/>
    <mergeCell ref="B59:B60"/>
    <mergeCell ref="C59:AA60"/>
    <mergeCell ref="AB61:AM63"/>
    <mergeCell ref="B62:B63"/>
    <mergeCell ref="C62:AA63"/>
    <mergeCell ref="AB52:AM54"/>
    <mergeCell ref="B53:B54"/>
    <mergeCell ref="C53:E54"/>
    <mergeCell ref="F53:AA54"/>
    <mergeCell ref="AB55:AM57"/>
    <mergeCell ref="B56:B57"/>
    <mergeCell ref="C56:AA57"/>
    <mergeCell ref="C48:AA48"/>
    <mergeCell ref="AB48:AN48"/>
    <mergeCell ref="B50:B51"/>
    <mergeCell ref="C50:K51"/>
    <mergeCell ref="L50:AA51"/>
    <mergeCell ref="AB50:AM51"/>
    <mergeCell ref="Z38:AA40"/>
    <mergeCell ref="AB38:AM40"/>
    <mergeCell ref="B39:B40"/>
    <mergeCell ref="C39:Y40"/>
    <mergeCell ref="AB42:AN42"/>
    <mergeCell ref="B46:B47"/>
    <mergeCell ref="C46:AA47"/>
    <mergeCell ref="AB46:AN46"/>
    <mergeCell ref="AB47:AN47"/>
    <mergeCell ref="C32:AA34"/>
    <mergeCell ref="B33:B34"/>
    <mergeCell ref="AB33:AM34"/>
    <mergeCell ref="B36:B37"/>
    <mergeCell ref="C36:H37"/>
    <mergeCell ref="P36:AA37"/>
    <mergeCell ref="AB36:AM37"/>
    <mergeCell ref="B27:B28"/>
    <mergeCell ref="AB27:AM28"/>
    <mergeCell ref="B30:B31"/>
    <mergeCell ref="C30:AA31"/>
    <mergeCell ref="AB30:AM31"/>
    <mergeCell ref="C27:AA28"/>
    <mergeCell ref="C20:AA20"/>
    <mergeCell ref="AB20:AN20"/>
    <mergeCell ref="B21:B22"/>
    <mergeCell ref="C21:AA22"/>
    <mergeCell ref="AB21:AM22"/>
    <mergeCell ref="B24:B25"/>
    <mergeCell ref="C24:AA25"/>
    <mergeCell ref="AB24:AM25"/>
    <mergeCell ref="AH3:AI4"/>
    <mergeCell ref="AJ3:AK4"/>
    <mergeCell ref="AL3:AM4"/>
    <mergeCell ref="C5:L5"/>
    <mergeCell ref="C6:L6"/>
    <mergeCell ref="B18:B19"/>
    <mergeCell ref="C18:AA19"/>
    <mergeCell ref="AB18:AN18"/>
    <mergeCell ref="AB19:AN19"/>
    <mergeCell ref="B2:B7"/>
    <mergeCell ref="D2:K4"/>
    <mergeCell ref="M2:AC2"/>
    <mergeCell ref="AD2:AE7"/>
    <mergeCell ref="M3:AC3"/>
    <mergeCell ref="AF3:AG4"/>
  </mergeCells>
  <printOptions horizontalCentered="1"/>
  <pageMargins left="0.7" right="0.7" top="0.75" bottom="0.75" header="0.3" footer="0.3"/>
  <pageSetup paperSize="5" scale="59" fitToHeight="0" orientation="portrait" r:id="rId1"/>
  <headerFooter alignWithMargins="0">
    <oddHeader>&amp;R&amp;"Arial,Bold"&amp;14C.2.1.&amp;P</oddHeader>
    <oddFooter>&amp;L&amp;8Page &amp;P of &amp;N&amp;R&amp;8Printed on &amp;D,&amp;T</oddFooter>
  </headerFooter>
</worksheet>
</file>

<file path=xl/worksheets/sheet1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6699"/>
    <pageSetUpPr fitToPage="1"/>
  </sheetPr>
  <dimension ref="A1:BC147"/>
  <sheetViews>
    <sheetView topLeftCell="A62" showGridLines="0" zoomScaleNormal="75" zoomScaleSheetLayoutView="100" view="pageBreakPreview" workbookViewId="0">
      <selection pane="topLeft" activeCell="N73" sqref="N73"/>
    </sheetView>
  </sheetViews>
  <sheetFormatPr defaultColWidth="3.7109375" customHeight="1" defaultRowHeight="10" baseColWidth="0"/>
  <cols>
    <col min="1" max="1" width="3.7109375" customWidth="1"/>
    <col min="2" max="2" width="5.28125" customWidth="1"/>
    <col min="3" max="3" width="4.7109375" customWidth="1"/>
    <col min="30" max="30" width="3.56640625" customWidth="1"/>
    <col min="31" max="31" width="3.8515625" customWidth="1"/>
    <col min="47" max="47" width="9.7109375" bestFit="1" customWidth="1"/>
  </cols>
  <sheetData>
    <row r="1" spans="1:41" customHeight="1">
      <c r="A1" s="1"/>
      <c r="B1"/>
      <c r="AO1" s="1"/>
    </row>
    <row r="2" spans="1:40" ht="12.75" customHeight="1">
      <c r="A2"/>
      <c r="B2" s="1478" t="s">
        <v>630</v>
      </c>
      <c r="C2" s="1774" t="s">
        <v>85</v>
      </c>
      <c r="D2" s="1774"/>
      <c r="E2" s="1774"/>
      <c r="F2" s="1774"/>
      <c r="G2" s="1774"/>
      <c r="H2" s="1774"/>
      <c r="I2" s="1774"/>
      <c r="J2" s="1956"/>
      <c r="K2" s="1957" t="s">
        <v>740</v>
      </c>
      <c r="L2" s="1958"/>
      <c r="M2" s="1958"/>
      <c r="N2" s="1958"/>
      <c r="O2" s="1958"/>
      <c r="P2" s="1958"/>
      <c r="Q2" s="1958"/>
      <c r="R2" s="1958"/>
      <c r="S2" s="1958"/>
      <c r="T2" s="1958"/>
      <c r="U2" s="1958"/>
      <c r="V2" s="1958"/>
      <c r="W2" s="1958"/>
      <c r="X2" s="1958"/>
      <c r="Y2" s="1958"/>
      <c r="Z2" s="1958"/>
      <c r="AA2" s="1958"/>
      <c r="AB2" s="1958"/>
      <c r="AC2" s="1958"/>
      <c r="AD2" s="1959"/>
      <c r="AE2" s="1884" t="s">
        <v>632</v>
      </c>
      <c r="AF2" s="1838"/>
      <c r="AG2" s="1950">
        <f>year01</f>
        <v>0</v>
      </c>
      <c r="AH2" s="1950"/>
      <c r="AI2" s="1950">
        <f>year02</f>
        <v>0</v>
      </c>
      <c r="AJ2" s="1950"/>
      <c r="AK2" s="1950">
        <f>year03</f>
        <v>0</v>
      </c>
      <c r="AL2" s="1950"/>
      <c r="AM2" s="1950">
        <f>year04</f>
        <v>0</v>
      </c>
      <c r="AN2" s="1950"/>
    </row>
    <row r="3" spans="2:40" ht="15" customHeight="1">
      <c r="B3" s="1478"/>
      <c r="C3" s="1774"/>
      <c r="D3" s="1774"/>
      <c r="E3" s="1774"/>
      <c r="F3" s="1774"/>
      <c r="G3" s="1774"/>
      <c r="H3" s="1774"/>
      <c r="I3" s="1774"/>
      <c r="J3" s="1956"/>
      <c r="K3" s="1951" t="s">
        <v>697</v>
      </c>
      <c r="L3" s="1005"/>
      <c r="M3" s="1005"/>
      <c r="N3" s="1005"/>
      <c r="O3" s="1005"/>
      <c r="P3" s="1005"/>
      <c r="Q3" s="1005"/>
      <c r="R3" s="1005"/>
      <c r="S3" s="1005"/>
      <c r="T3" s="1005"/>
      <c r="U3" s="1005"/>
      <c r="V3" s="1005"/>
      <c r="W3" s="1005"/>
      <c r="X3" s="1005"/>
      <c r="Y3" s="1005"/>
      <c r="Z3" s="1005"/>
      <c r="AA3" s="1005"/>
      <c r="AB3" s="1005"/>
      <c r="AC3" s="1005"/>
      <c r="AD3" s="1952"/>
      <c r="AE3" s="1884"/>
      <c r="AF3" s="1838"/>
      <c r="AG3" s="1950"/>
      <c r="AH3" s="1950"/>
      <c r="AI3" s="1950"/>
      <c r="AJ3" s="1950"/>
      <c r="AK3" s="1950"/>
      <c r="AL3" s="1950"/>
      <c r="AM3" s="1950"/>
      <c r="AN3" s="1950"/>
    </row>
    <row r="4" spans="2:40" ht="3" customHeight="1" thickBot="1">
      <c r="B4" s="1478"/>
      <c r="C4" s="1774"/>
      <c r="D4" s="1774"/>
      <c r="E4" s="1774"/>
      <c r="F4" s="1774"/>
      <c r="G4" s="1774"/>
      <c r="H4" s="1774"/>
      <c r="I4" s="1774"/>
      <c r="J4" s="1956"/>
      <c r="K4" s="313"/>
      <c r="L4" s="314"/>
      <c r="M4" s="314"/>
      <c r="N4" s="314"/>
      <c r="O4" s="314"/>
      <c r="P4" s="314"/>
      <c r="Q4" s="314"/>
      <c r="R4" s="314"/>
      <c r="S4" s="314"/>
      <c r="T4" s="314"/>
      <c r="U4" s="314"/>
      <c r="V4" s="314"/>
      <c r="W4" s="314"/>
      <c r="X4" s="314"/>
      <c r="Y4" s="314"/>
      <c r="Z4" s="314"/>
      <c r="AA4" s="314"/>
      <c r="AB4" s="314"/>
      <c r="AC4" s="314"/>
      <c r="AD4" s="315"/>
      <c r="AE4" s="1884"/>
      <c r="AF4" s="1838"/>
      <c r="AG4" s="202"/>
      <c r="AH4" s="202"/>
      <c r="AI4" s="202"/>
      <c r="AJ4" s="202"/>
      <c r="AK4" s="202"/>
      <c r="AL4" s="202"/>
      <c r="AM4" s="202"/>
      <c r="AN4" s="202"/>
    </row>
    <row r="5" spans="2:40" ht="15" customHeight="1">
      <c r="B5" s="1478"/>
      <c r="C5" s="204" t="s">
        <v>465</v>
      </c>
      <c r="D5" s="204"/>
      <c r="E5" s="204"/>
      <c r="F5" s="204"/>
      <c r="G5" s="204"/>
      <c r="H5" s="204"/>
      <c r="I5" s="204"/>
      <c r="J5" s="1781"/>
      <c r="K5" s="58" t="s">
        <v>23</v>
      </c>
      <c r="L5" s="1953" t="s">
        <v>741</v>
      </c>
      <c r="M5" s="1954"/>
      <c r="N5" s="1954"/>
      <c r="O5" s="1954"/>
      <c r="P5" s="1954"/>
      <c r="Q5" s="1954"/>
      <c r="R5" s="1954"/>
      <c r="S5" s="1954"/>
      <c r="T5" s="1954"/>
      <c r="U5" s="1954"/>
      <c r="V5" s="1954"/>
      <c r="W5" s="1954"/>
      <c r="X5" s="4"/>
      <c r="Y5" s="4"/>
      <c r="Z5" s="4"/>
      <c r="AA5" s="4"/>
      <c r="AB5" s="4"/>
      <c r="AC5" s="4"/>
      <c r="AD5" s="4"/>
      <c r="AE5" s="1884"/>
      <c r="AF5" s="1838"/>
      <c r="AG5" s="202"/>
      <c r="AH5" s="202"/>
      <c r="AI5" s="202"/>
      <c r="AJ5" s="202"/>
      <c r="AK5" s="202"/>
      <c r="AL5" s="202"/>
      <c r="AM5" s="202"/>
      <c r="AN5" s="202"/>
    </row>
    <row r="6" spans="2:40" ht="15" customHeight="1">
      <c r="B6" s="1478"/>
      <c r="C6" s="1875" t="s">
        <v>31</v>
      </c>
      <c r="D6" s="1875"/>
      <c r="E6" s="1875"/>
      <c r="F6" s="1875"/>
      <c r="G6" s="1875"/>
      <c r="H6" s="1875"/>
      <c r="I6" s="1875"/>
      <c r="J6" s="1876"/>
      <c r="K6" s="115" t="s">
        <v>23</v>
      </c>
      <c r="L6" s="909" t="s">
        <v>742</v>
      </c>
      <c r="M6" s="908"/>
      <c r="N6" s="908"/>
      <c r="O6" s="908"/>
      <c r="P6" s="908"/>
      <c r="Q6" s="908"/>
      <c r="R6" s="908"/>
      <c r="S6" s="908"/>
      <c r="T6" s="908"/>
      <c r="U6" s="908"/>
      <c r="V6" s="908"/>
      <c r="W6" s="908"/>
      <c r="X6" s="4"/>
      <c r="Y6" s="4"/>
      <c r="Z6" s="4"/>
      <c r="AA6" s="4"/>
      <c r="AB6" s="4"/>
      <c r="AC6" s="4"/>
      <c r="AD6" s="4"/>
      <c r="AE6" s="1884"/>
      <c r="AF6" s="1838"/>
      <c r="AG6" s="305"/>
      <c r="AH6" s="305"/>
      <c r="AI6" s="305"/>
      <c r="AJ6" s="305"/>
      <c r="AK6" s="305"/>
      <c r="AL6" s="305"/>
      <c r="AM6" s="305"/>
      <c r="AN6" s="305"/>
    </row>
    <row r="7" spans="2:32" ht="12.75" customHeight="1">
      <c r="B7" s="1478"/>
      <c r="K7" s="115" t="s">
        <v>23</v>
      </c>
      <c r="L7" s="909" t="s">
        <v>743</v>
      </c>
      <c r="M7" s="907"/>
      <c r="N7" s="907"/>
      <c r="O7" s="907"/>
      <c r="P7" s="908"/>
      <c r="Q7" s="908"/>
      <c r="R7" s="908"/>
      <c r="S7" s="908"/>
      <c r="T7" s="908"/>
      <c r="U7" s="908"/>
      <c r="V7" s="908"/>
      <c r="W7" s="908"/>
      <c r="X7" s="4"/>
      <c r="Y7" s="4"/>
      <c r="Z7" s="4"/>
      <c r="AA7" s="4"/>
      <c r="AB7" s="4"/>
      <c r="AC7" s="4"/>
      <c r="AD7" s="4"/>
      <c r="AE7" s="1884"/>
      <c r="AF7" s="1838"/>
    </row>
    <row r="8" spans="2:40" ht="15" customHeight="1" thickBot="1">
      <c r="B8" s="1955"/>
      <c r="C8" s="25"/>
      <c r="D8" s="25"/>
      <c r="E8" s="25"/>
      <c r="F8" s="25"/>
      <c r="G8" s="25"/>
      <c r="H8" s="25"/>
      <c r="I8" s="25"/>
      <c r="J8" s="77"/>
      <c r="K8" s="115" t="s">
        <v>23</v>
      </c>
      <c r="L8" s="909" t="s">
        <v>744</v>
      </c>
      <c r="M8" s="907"/>
      <c r="N8" s="907"/>
      <c r="O8" s="907"/>
      <c r="P8" s="907"/>
      <c r="Q8" s="907"/>
      <c r="R8" s="907"/>
      <c r="S8" s="907"/>
      <c r="T8" s="908"/>
      <c r="U8" s="908"/>
      <c r="V8" s="908"/>
      <c r="W8" s="908"/>
      <c r="X8" s="4"/>
      <c r="Y8" s="4"/>
      <c r="Z8" s="4"/>
      <c r="AA8" s="4"/>
      <c r="AB8" s="4"/>
      <c r="AC8" s="4"/>
      <c r="AD8" s="4"/>
      <c r="AE8" s="1885"/>
      <c r="AF8" s="48"/>
      <c r="AG8" s="4"/>
      <c r="AH8"/>
      <c r="AI8" s="25"/>
      <c r="AJ8" s="25"/>
      <c r="AK8" s="25"/>
      <c r="AL8" s="25"/>
      <c r="AM8" s="25"/>
      <c r="AN8"/>
    </row>
    <row r="9" spans="2:40" ht="2.25" customHeight="1">
      <c r="B9" s="65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13"/>
    </row>
    <row r="10" spans="2:40" s="11" customFormat="1" ht="18" customHeight="1">
      <c r="B10" s="911" t="s">
        <v>1195</v>
      </c>
      <c r="C10" s="66"/>
      <c r="D10" s="66"/>
      <c r="E10" s="66"/>
      <c r="F10" s="66"/>
      <c r="G10" s="66"/>
      <c r="H10" s="58" t="s">
        <v>26</v>
      </c>
      <c r="I10" s="62"/>
      <c r="J10" s="1338" t="str">
        <f>taxId1</f>
        <v/>
      </c>
      <c r="K10" s="1338" t="str">
        <f>taxId2</f>
        <v/>
      </c>
      <c r="L10" s="814"/>
      <c r="M10" s="1338" t="str">
        <f>taxId3</f>
        <v/>
      </c>
      <c r="N10" s="1338" t="str">
        <f>taxId4</f>
        <v/>
      </c>
      <c r="O10" s="1338" t="str">
        <f>taxId5</f>
        <v/>
      </c>
      <c r="P10" s="814"/>
      <c r="Q10" s="1338" t="str">
        <f>taxId6</f>
        <v/>
      </c>
      <c r="R10" s="1338" t="str">
        <f>taxId7</f>
        <v/>
      </c>
      <c r="S10" s="1338" t="str">
        <f>taxId8</f>
        <v/>
      </c>
      <c r="T10" s="814"/>
      <c r="U10" s="1338" t="str">
        <f>taxId9</f>
        <v/>
      </c>
      <c r="V10" s="814"/>
      <c r="W10" s="1338" t="str">
        <f>taxId10</f>
        <v/>
      </c>
      <c r="X10" s="1338" t="str">
        <f>taxId11</f>
        <v/>
      </c>
      <c r="Y10" s="1338" t="str">
        <f>taxId12</f>
        <v/>
      </c>
      <c r="Z10" s="814"/>
      <c r="AA10" s="1338" t="str">
        <f>taxId13</f>
        <v/>
      </c>
      <c r="AB10" s="1338" t="str">
        <f>taxId14</f>
        <v/>
      </c>
      <c r="AC10" s="1338" t="str">
        <f>taxId15</f>
        <v/>
      </c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47"/>
    </row>
    <row r="11" spans="2:40" ht="3" customHeight="1">
      <c r="B11" s="914"/>
      <c r="C11" s="88"/>
      <c r="D11" s="88"/>
      <c r="E11" s="88"/>
      <c r="F11" s="88"/>
      <c r="G11" s="88"/>
      <c r="H11" s="113"/>
      <c r="I11" s="88"/>
      <c r="J11" s="15"/>
      <c r="K11" s="79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306"/>
      <c r="AE11" s="306"/>
      <c r="AF11" s="306"/>
      <c r="AG11" s="306"/>
      <c r="AH11" s="306"/>
      <c r="AI11" s="306"/>
      <c r="AJ11" s="306"/>
      <c r="AK11" s="306"/>
      <c r="AL11" s="306"/>
      <c r="AM11" s="306"/>
      <c r="AN11" s="52"/>
    </row>
    <row r="12" spans="2:41" s="11" customFormat="1" ht="18.75" customHeight="1">
      <c r="B12" s="911" t="s">
        <v>642</v>
      </c>
      <c r="C12" s="66"/>
      <c r="D12" s="66"/>
      <c r="E12" s="66"/>
      <c r="F12" s="66"/>
      <c r="G12" s="66"/>
      <c r="H12" s="58" t="s">
        <v>26</v>
      </c>
      <c r="I12" s="62"/>
      <c r="J12" s="1339" t="str">
        <f>UPPER(name)</f>
        <v>0</v>
      </c>
      <c r="K12" s="1351"/>
      <c r="L12" s="1351"/>
      <c r="M12" s="1351"/>
      <c r="N12" s="1351"/>
      <c r="O12" s="1351"/>
      <c r="P12" s="1351"/>
      <c r="Q12" s="1351"/>
      <c r="R12" s="1351"/>
      <c r="S12" s="1351"/>
      <c r="T12" s="1351"/>
      <c r="U12" s="1351"/>
      <c r="V12" s="1351"/>
      <c r="W12" s="1351"/>
      <c r="X12" s="1351"/>
      <c r="Y12" s="1351"/>
      <c r="Z12" s="1351"/>
      <c r="AA12" s="1351"/>
      <c r="AB12" s="1351"/>
      <c r="AC12" s="1351"/>
      <c r="AD12" s="1351"/>
      <c r="AE12" s="1351"/>
      <c r="AF12" s="1351"/>
      <c r="AG12" s="1351"/>
      <c r="AH12" s="1351"/>
      <c r="AI12" s="1351"/>
      <c r="AJ12" s="1351"/>
      <c r="AK12" s="1351"/>
      <c r="AL12" s="1351"/>
      <c r="AM12" s="1351"/>
      <c r="AN12" s="47" t="str">
        <f>name31</f>
        <v> </v>
      </c>
      <c r="AO12" s="11" t="str">
        <f>name32</f>
        <v> </v>
      </c>
    </row>
    <row r="13" spans="2:40" ht="3" customHeight="1" thickBot="1">
      <c r="B13" s="80"/>
      <c r="C13" s="2"/>
      <c r="D13" s="2"/>
      <c r="E13" s="2"/>
      <c r="F13" s="2"/>
      <c r="G13" s="2"/>
      <c r="H13" s="2"/>
      <c r="I13" s="2"/>
      <c r="J13" s="2"/>
      <c r="K13" s="59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14"/>
    </row>
    <row r="14" spans="2:40" ht="9" customHeight="1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</row>
    <row r="15" spans="2:40" ht="15" customHeight="1">
      <c r="B15" s="916" t="s">
        <v>701</v>
      </c>
      <c r="C15" s="917"/>
      <c r="D15" s="917"/>
      <c r="E15" s="907"/>
      <c r="F15" s="917" t="s">
        <v>26</v>
      </c>
      <c r="G15" s="918" t="s">
        <v>1204</v>
      </c>
      <c r="H15" s="917"/>
      <c r="I15" s="917"/>
      <c r="J15" s="917"/>
      <c r="K15" s="917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/>
      <c r="AA15"/>
      <c r="AB15"/>
      <c r="AC15"/>
      <c r="AD15"/>
      <c r="AE15" s="11"/>
      <c r="AF15" s="11"/>
      <c r="AG15" s="11"/>
      <c r="AH15"/>
      <c r="AI15"/>
      <c r="AJ15"/>
      <c r="AK15"/>
      <c r="AL15"/>
      <c r="AM15"/>
      <c r="AN15"/>
    </row>
    <row r="16" spans="2:40" ht="4.5" customHeight="1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2:40" ht="15" customHeight="1">
      <c r="B17" s="1879" t="s">
        <v>702</v>
      </c>
      <c r="C17" s="1879" t="s">
        <v>703</v>
      </c>
      <c r="D17" s="1292"/>
      <c r="E17" s="1292"/>
      <c r="F17" s="1292"/>
      <c r="G17" s="1292"/>
      <c r="H17" s="1292"/>
      <c r="I17" s="1292"/>
      <c r="J17" s="1292"/>
      <c r="K17" s="1292"/>
      <c r="L17" s="1292"/>
      <c r="M17" s="1292"/>
      <c r="N17" s="1292"/>
      <c r="O17" s="1292"/>
      <c r="P17" s="1292"/>
      <c r="Q17" s="1880"/>
      <c r="R17" s="1292" t="s">
        <v>745</v>
      </c>
      <c r="S17" s="1292"/>
      <c r="T17" s="1292"/>
      <c r="U17" s="1292"/>
      <c r="V17" s="1292"/>
      <c r="W17" s="1292"/>
      <c r="X17" s="1292"/>
      <c r="Y17" s="1292"/>
      <c r="Z17" s="1292"/>
      <c r="AA17" s="1292"/>
      <c r="AB17" s="1292"/>
      <c r="AC17" s="1292"/>
      <c r="AD17" s="1879" t="s">
        <v>746</v>
      </c>
      <c r="AE17" s="1292"/>
      <c r="AF17" s="1292"/>
      <c r="AG17" s="1292"/>
      <c r="AH17" s="1292"/>
      <c r="AI17" s="1292"/>
      <c r="AJ17" s="1292"/>
      <c r="AK17" s="1292"/>
      <c r="AL17" s="1292"/>
      <c r="AM17" s="1292"/>
      <c r="AN17" s="1880"/>
    </row>
    <row r="18" spans="2:40" ht="12" customHeight="1">
      <c r="B18" s="1004"/>
      <c r="C18" s="1004"/>
      <c r="D18" s="982"/>
      <c r="E18" s="982"/>
      <c r="F18" s="982"/>
      <c r="G18" s="982"/>
      <c r="H18" s="982"/>
      <c r="I18" s="982"/>
      <c r="J18" s="982"/>
      <c r="K18" s="982"/>
      <c r="L18" s="982"/>
      <c r="M18" s="982"/>
      <c r="N18" s="982"/>
      <c r="O18" s="982"/>
      <c r="P18" s="982"/>
      <c r="Q18" s="1881"/>
      <c r="R18" s="982" t="s">
        <v>747</v>
      </c>
      <c r="S18" s="982"/>
      <c r="T18" s="982"/>
      <c r="U18" s="982"/>
      <c r="V18" s="982"/>
      <c r="W18" s="982"/>
      <c r="X18" s="982"/>
      <c r="Y18" s="982"/>
      <c r="Z18" s="982"/>
      <c r="AA18" s="982"/>
      <c r="AB18" s="982"/>
      <c r="AC18" s="982"/>
      <c r="AD18" s="1004"/>
      <c r="AE18" s="982"/>
      <c r="AF18" s="982"/>
      <c r="AG18" s="982"/>
      <c r="AH18" s="982"/>
      <c r="AI18" s="982"/>
      <c r="AJ18" s="982"/>
      <c r="AK18" s="982"/>
      <c r="AL18" s="982"/>
      <c r="AM18" s="982"/>
      <c r="AN18" s="1881"/>
    </row>
    <row r="19" spans="2:40" ht="12" customHeight="1">
      <c r="B19" s="1004"/>
      <c r="C19" s="1004"/>
      <c r="D19" s="982"/>
      <c r="E19" s="982"/>
      <c r="F19" s="982"/>
      <c r="G19" s="982"/>
      <c r="H19" s="982"/>
      <c r="I19" s="982"/>
      <c r="J19" s="982"/>
      <c r="K19" s="982"/>
      <c r="L19" s="982"/>
      <c r="M19" s="982"/>
      <c r="N19" s="982"/>
      <c r="O19" s="982"/>
      <c r="P19" s="982"/>
      <c r="Q19" s="1881"/>
      <c r="R19" s="1945" t="s">
        <v>705</v>
      </c>
      <c r="S19" s="1946"/>
      <c r="T19" s="1946"/>
      <c r="U19" s="1946"/>
      <c r="V19" s="1946"/>
      <c r="W19" s="1946"/>
      <c r="X19" s="1946"/>
      <c r="Y19" s="1946"/>
      <c r="Z19" s="1946"/>
      <c r="AA19" s="1946"/>
      <c r="AB19" s="1946"/>
      <c r="AC19" s="1947"/>
      <c r="AD19" s="1878" t="s">
        <v>705</v>
      </c>
      <c r="AE19" s="1948"/>
      <c r="AF19" s="1948"/>
      <c r="AG19" s="1948"/>
      <c r="AH19" s="1948"/>
      <c r="AI19" s="1948"/>
      <c r="AJ19" s="1948"/>
      <c r="AK19" s="1948"/>
      <c r="AL19" s="1948"/>
      <c r="AM19" s="1948"/>
      <c r="AN19" s="1949"/>
    </row>
    <row r="20" spans="2:40" s="16" customFormat="1" ht="12" customHeight="1">
      <c r="B20" s="176" t="s">
        <v>65</v>
      </c>
      <c r="C20" s="1909" t="s">
        <v>64</v>
      </c>
      <c r="D20" s="1910"/>
      <c r="E20" s="1910"/>
      <c r="F20" s="1910"/>
      <c r="G20" s="1910"/>
      <c r="H20" s="1910"/>
      <c r="I20" s="1910"/>
      <c r="J20" s="1910"/>
      <c r="K20" s="1910"/>
      <c r="L20" s="1910"/>
      <c r="M20" s="1910"/>
      <c r="N20" s="1910"/>
      <c r="O20" s="1910"/>
      <c r="P20" s="1910"/>
      <c r="Q20" s="1911"/>
      <c r="R20" s="1910" t="s">
        <v>66</v>
      </c>
      <c r="S20" s="1910"/>
      <c r="T20" s="1910"/>
      <c r="U20" s="1910"/>
      <c r="V20" s="1910"/>
      <c r="W20" s="1910"/>
      <c r="X20" s="1910"/>
      <c r="Y20" s="1910"/>
      <c r="Z20" s="1910"/>
      <c r="AA20" s="1910"/>
      <c r="AB20" s="1910"/>
      <c r="AC20" s="1910"/>
      <c r="AD20" s="1909" t="s">
        <v>67</v>
      </c>
      <c r="AE20" s="1910"/>
      <c r="AF20" s="1910"/>
      <c r="AG20" s="1910"/>
      <c r="AH20" s="1910"/>
      <c r="AI20" s="1910"/>
      <c r="AJ20" s="1910"/>
      <c r="AK20" s="1910"/>
      <c r="AL20" s="1910"/>
      <c r="AM20" s="1910"/>
      <c r="AN20" s="1911"/>
    </row>
    <row r="21" spans="2:40" ht="3" customHeight="1" hidden="1">
      <c r="B21" s="177"/>
      <c r="C21" s="177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3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7"/>
      <c r="AE21" s="172"/>
      <c r="AF21" s="172"/>
      <c r="AG21" s="172"/>
      <c r="AH21" s="172"/>
      <c r="AI21" s="172"/>
      <c r="AJ21" s="172"/>
      <c r="AK21" s="172"/>
      <c r="AL21" s="172"/>
      <c r="AM21" s="172"/>
      <c r="AN21" s="173"/>
    </row>
    <row r="22" spans="2:40" ht="15" customHeight="1">
      <c r="B22" s="1304" t="s">
        <v>386</v>
      </c>
      <c r="C22" s="1970" t="s">
        <v>748</v>
      </c>
      <c r="D22" s="1971"/>
      <c r="E22" s="1971"/>
      <c r="F22" s="1971"/>
      <c r="G22" s="1971"/>
      <c r="H22" s="1971"/>
      <c r="I22" s="1971"/>
      <c r="J22" s="1971"/>
      <c r="K22" s="1971"/>
      <c r="L22" s="1971"/>
      <c r="M22" s="1971"/>
      <c r="N22" s="1971"/>
      <c r="O22" s="1971"/>
      <c r="P22" s="1971"/>
      <c r="Q22" s="1972"/>
      <c r="R22" s="1968">
        <f>'GENERAL INFO'!O172</f>
        <v>0</v>
      </c>
      <c r="S22" s="1969"/>
      <c r="T22" s="1969"/>
      <c r="U22" s="1969"/>
      <c r="V22" s="1969"/>
      <c r="W22" s="1969"/>
      <c r="X22" s="1969"/>
      <c r="Y22" s="1969"/>
      <c r="Z22" s="1969"/>
      <c r="AA22" s="1969"/>
      <c r="AB22" s="1969"/>
      <c r="AC22" s="919"/>
      <c r="AD22" s="1968">
        <f>'GENERAL INFO'!T172</f>
        <v>0</v>
      </c>
      <c r="AE22" s="1969"/>
      <c r="AF22" s="1969"/>
      <c r="AG22" s="1969"/>
      <c r="AH22" s="1969"/>
      <c r="AI22" s="1969"/>
      <c r="AJ22" s="1969"/>
      <c r="AK22" s="1969"/>
      <c r="AL22" s="1969"/>
      <c r="AM22" s="1969"/>
      <c r="AN22" s="256"/>
    </row>
    <row r="23" spans="2:40" ht="15" customHeight="1">
      <c r="B23" s="1900"/>
      <c r="C23" s="1963"/>
      <c r="D23" s="1964"/>
      <c r="E23" s="1964"/>
      <c r="F23" s="1964"/>
      <c r="G23" s="1964"/>
      <c r="H23" s="1964"/>
      <c r="I23" s="1964"/>
      <c r="J23" s="1964"/>
      <c r="K23" s="1964"/>
      <c r="L23" s="1964"/>
      <c r="M23" s="1964"/>
      <c r="N23" s="1964"/>
      <c r="O23" s="1964"/>
      <c r="P23" s="1964"/>
      <c r="Q23" s="1965"/>
      <c r="R23" s="1966"/>
      <c r="S23" s="1967"/>
      <c r="T23" s="1967"/>
      <c r="U23" s="1967"/>
      <c r="V23" s="1967"/>
      <c r="W23" s="1967"/>
      <c r="X23" s="1967"/>
      <c r="Y23" s="1967"/>
      <c r="Z23" s="1967"/>
      <c r="AA23" s="1967"/>
      <c r="AB23" s="1967"/>
      <c r="AC23" s="935"/>
      <c r="AD23" s="1966"/>
      <c r="AE23" s="1967"/>
      <c r="AF23" s="1967"/>
      <c r="AG23" s="1967"/>
      <c r="AH23" s="1967"/>
      <c r="AI23" s="1967"/>
      <c r="AJ23" s="1967"/>
      <c r="AK23" s="1967"/>
      <c r="AL23" s="1967"/>
      <c r="AM23" s="1967"/>
      <c r="AN23" s="263"/>
    </row>
    <row r="24" spans="2:40" ht="3" customHeight="1">
      <c r="B24" s="141"/>
      <c r="C24" s="920"/>
      <c r="D24" s="921"/>
      <c r="E24" s="921"/>
      <c r="F24" s="921"/>
      <c r="G24" s="921"/>
      <c r="H24" s="921"/>
      <c r="I24" s="921"/>
      <c r="J24" s="921"/>
      <c r="K24" s="921"/>
      <c r="L24" s="921"/>
      <c r="M24" s="921"/>
      <c r="N24" s="921"/>
      <c r="O24" s="921"/>
      <c r="P24" s="921"/>
      <c r="Q24" s="922"/>
      <c r="R24" s="982"/>
      <c r="S24" s="912"/>
      <c r="T24" s="912"/>
      <c r="U24" s="912"/>
      <c r="V24" s="912"/>
      <c r="W24" s="912"/>
      <c r="X24" s="912"/>
      <c r="Y24" s="912"/>
      <c r="Z24" s="912"/>
      <c r="AA24" s="912"/>
      <c r="AB24" s="912"/>
      <c r="AC24" s="912"/>
      <c r="AD24" s="1004"/>
      <c r="AE24" s="912"/>
      <c r="AF24" s="912"/>
      <c r="AG24" s="912"/>
      <c r="AH24" s="912"/>
      <c r="AI24" s="912"/>
      <c r="AJ24" s="912"/>
      <c r="AK24" s="912"/>
      <c r="AL24" s="912"/>
      <c r="AM24" s="912"/>
      <c r="AN24" s="144"/>
    </row>
    <row r="25" spans="2:40" ht="15" customHeight="1">
      <c r="B25" s="141" t="s">
        <v>387</v>
      </c>
      <c r="C25" s="1960" t="s">
        <v>749</v>
      </c>
      <c r="D25" s="1961"/>
      <c r="E25" s="1961"/>
      <c r="F25" s="1961"/>
      <c r="G25" s="1961"/>
      <c r="H25" s="1961"/>
      <c r="I25" s="1961"/>
      <c r="J25" s="1961"/>
      <c r="K25" s="1961"/>
      <c r="L25" s="1961"/>
      <c r="M25" s="1961"/>
      <c r="N25" s="1961"/>
      <c r="O25" s="1961"/>
      <c r="P25" s="1961"/>
      <c r="Q25" s="1962"/>
      <c r="R25" s="1006">
        <f>'GENERAL INFO'!O173</f>
        <v>0</v>
      </c>
      <c r="S25" s="1303"/>
      <c r="T25" s="1303"/>
      <c r="U25" s="1303"/>
      <c r="V25" s="1303"/>
      <c r="W25" s="1303"/>
      <c r="X25" s="1303"/>
      <c r="Y25" s="1303"/>
      <c r="Z25" s="1303"/>
      <c r="AA25" s="1303"/>
      <c r="AB25" s="1303"/>
      <c r="AC25" s="924"/>
      <c r="AD25" s="1006">
        <f>'GENERAL INFO'!T173</f>
        <v>0</v>
      </c>
      <c r="AE25" s="1303"/>
      <c r="AF25" s="1303"/>
      <c r="AG25" s="1303"/>
      <c r="AH25" s="1303"/>
      <c r="AI25" s="1303"/>
      <c r="AJ25" s="1303"/>
      <c r="AK25" s="1303"/>
      <c r="AL25" s="1303"/>
      <c r="AM25" s="1303"/>
      <c r="AN25" s="243"/>
    </row>
    <row r="26" spans="2:40" ht="15.75" customHeight="1">
      <c r="B26" s="1293"/>
      <c r="C26" s="1963" t="s">
        <v>155</v>
      </c>
      <c r="D26" s="1964"/>
      <c r="E26" s="1964"/>
      <c r="F26" s="1964"/>
      <c r="G26" s="1964"/>
      <c r="H26" s="1964"/>
      <c r="I26" s="1964"/>
      <c r="J26" s="1964"/>
      <c r="K26" s="1964"/>
      <c r="L26" s="1964"/>
      <c r="M26" s="1964"/>
      <c r="N26" s="1964"/>
      <c r="O26" s="1964"/>
      <c r="P26" s="1964"/>
      <c r="Q26" s="1965"/>
      <c r="R26" s="1966"/>
      <c r="S26" s="1967"/>
      <c r="T26" s="1967"/>
      <c r="U26" s="1967"/>
      <c r="V26" s="1967"/>
      <c r="W26" s="1967"/>
      <c r="X26" s="1967"/>
      <c r="Y26" s="1967"/>
      <c r="Z26" s="1967"/>
      <c r="AA26" s="1967"/>
      <c r="AB26" s="1967"/>
      <c r="AC26" s="935"/>
      <c r="AD26" s="1966"/>
      <c r="AE26" s="1967"/>
      <c r="AF26" s="1967"/>
      <c r="AG26" s="1967"/>
      <c r="AH26" s="1967"/>
      <c r="AI26" s="1967"/>
      <c r="AJ26" s="1967"/>
      <c r="AK26" s="1967"/>
      <c r="AL26" s="1967"/>
      <c r="AM26" s="1967"/>
      <c r="AN26" s="263"/>
    </row>
    <row r="27" spans="2:40" ht="3" customHeight="1">
      <c r="B27" s="142"/>
      <c r="C27" s="1352"/>
      <c r="D27" s="1353"/>
      <c r="E27" s="1353"/>
      <c r="F27" s="1353"/>
      <c r="G27" s="1353"/>
      <c r="H27" s="1353"/>
      <c r="I27" s="1353"/>
      <c r="J27" s="1353"/>
      <c r="K27" s="1353"/>
      <c r="L27" s="1353"/>
      <c r="M27" s="1353"/>
      <c r="N27" s="1353"/>
      <c r="O27" s="1353"/>
      <c r="P27" s="1353"/>
      <c r="Q27" s="1354"/>
      <c r="R27" s="1292"/>
      <c r="S27" s="1355"/>
      <c r="T27" s="1355"/>
      <c r="U27" s="1355"/>
      <c r="V27" s="1355"/>
      <c r="W27" s="1355"/>
      <c r="X27" s="1355"/>
      <c r="Y27" s="1355"/>
      <c r="Z27" s="1355"/>
      <c r="AA27" s="1355"/>
      <c r="AB27" s="1355"/>
      <c r="AC27" s="1355"/>
      <c r="AD27" s="1968">
        <f>'GENERAL INFO'!T174</f>
        <v>0</v>
      </c>
      <c r="AE27" s="1969"/>
      <c r="AF27" s="1969"/>
      <c r="AG27" s="1969"/>
      <c r="AH27" s="1969"/>
      <c r="AI27" s="1969"/>
      <c r="AJ27" s="1969"/>
      <c r="AK27" s="1969"/>
      <c r="AL27" s="1969"/>
      <c r="AM27" s="1969"/>
      <c r="AN27" s="1356"/>
    </row>
    <row r="28" spans="2:40" ht="15" customHeight="1">
      <c r="B28" s="141" t="s">
        <v>388</v>
      </c>
      <c r="C28" s="1894" t="s">
        <v>1205</v>
      </c>
      <c r="D28" s="983"/>
      <c r="E28" s="983"/>
      <c r="F28" s="983"/>
      <c r="G28" s="983"/>
      <c r="H28" s="983"/>
      <c r="I28" s="983"/>
      <c r="J28" s="983"/>
      <c r="K28" s="983"/>
      <c r="L28" s="983"/>
      <c r="M28" s="983"/>
      <c r="N28" s="926"/>
      <c r="O28" s="926"/>
      <c r="P28" s="926"/>
      <c r="Q28" s="927"/>
      <c r="R28" s="1006">
        <f>'GENERAL INFO'!O174</f>
        <v>0</v>
      </c>
      <c r="S28" s="1303"/>
      <c r="T28" s="1303"/>
      <c r="U28" s="1303"/>
      <c r="V28" s="1303"/>
      <c r="W28" s="1303"/>
      <c r="X28" s="1303"/>
      <c r="Y28" s="1303"/>
      <c r="Z28" s="1303"/>
      <c r="AA28" s="1303"/>
      <c r="AB28" s="1303"/>
      <c r="AC28" s="924"/>
      <c r="AD28" s="1006">
        <f>'[14]GENERAL INFO'!T175</f>
        <v>0</v>
      </c>
      <c r="AE28" s="1303"/>
      <c r="AF28" s="1303"/>
      <c r="AG28" s="1303"/>
      <c r="AH28" s="1303"/>
      <c r="AI28" s="1303"/>
      <c r="AJ28" s="1303"/>
      <c r="AK28" s="1303"/>
      <c r="AL28" s="1303"/>
      <c r="AM28" s="1303"/>
      <c r="AN28" s="243"/>
    </row>
    <row r="29" spans="2:40" ht="8.25" customHeight="1">
      <c r="B29" s="1293"/>
      <c r="C29" s="1866"/>
      <c r="D29" s="1867"/>
      <c r="E29" s="1867"/>
      <c r="F29" s="1867"/>
      <c r="G29" s="1867"/>
      <c r="H29" s="1867"/>
      <c r="I29" s="1867"/>
      <c r="J29" s="1867"/>
      <c r="K29" s="1867"/>
      <c r="L29" s="1867"/>
      <c r="M29" s="1867"/>
      <c r="N29" s="1357"/>
      <c r="O29" s="1357"/>
      <c r="P29" s="1357"/>
      <c r="Q29" s="1358"/>
      <c r="R29" s="1966"/>
      <c r="S29" s="1967"/>
      <c r="T29" s="1967"/>
      <c r="U29" s="1967"/>
      <c r="V29" s="1967"/>
      <c r="W29" s="1967"/>
      <c r="X29" s="1967"/>
      <c r="Y29" s="1967"/>
      <c r="Z29" s="1967"/>
      <c r="AA29" s="1967"/>
      <c r="AB29" s="1967"/>
      <c r="AC29" s="935"/>
      <c r="AD29" s="1966"/>
      <c r="AE29" s="1967"/>
      <c r="AF29" s="1967"/>
      <c r="AG29" s="1967"/>
      <c r="AH29" s="1967"/>
      <c r="AI29" s="1967"/>
      <c r="AJ29" s="1967"/>
      <c r="AK29" s="1967"/>
      <c r="AL29" s="1967"/>
      <c r="AM29" s="1967"/>
      <c r="AN29" s="263"/>
    </row>
    <row r="30" spans="2:40" ht="3" customHeight="1">
      <c r="B30" s="142"/>
      <c r="C30" s="1359"/>
      <c r="D30" s="1360"/>
      <c r="E30" s="1360"/>
      <c r="F30" s="1360"/>
      <c r="G30" s="1360"/>
      <c r="H30" s="1360"/>
      <c r="I30" s="1360"/>
      <c r="J30" s="1360"/>
      <c r="K30" s="1360"/>
      <c r="L30" s="1360"/>
      <c r="M30" s="1360"/>
      <c r="N30" s="1360"/>
      <c r="O30" s="1360"/>
      <c r="P30" s="1360"/>
      <c r="Q30" s="1361"/>
      <c r="R30" s="1292"/>
      <c r="S30" s="1355"/>
      <c r="T30" s="1355"/>
      <c r="U30" s="1355"/>
      <c r="V30" s="1355"/>
      <c r="W30" s="1355"/>
      <c r="X30" s="1355"/>
      <c r="Y30" s="1355"/>
      <c r="Z30" s="1355"/>
      <c r="AA30" s="1355"/>
      <c r="AB30" s="1355"/>
      <c r="AC30" s="1355"/>
      <c r="AD30" s="1968">
        <f>'GENERAL INFO'!T175</f>
        <v>0</v>
      </c>
      <c r="AE30" s="1969"/>
      <c r="AF30" s="1969"/>
      <c r="AG30" s="1969"/>
      <c r="AH30" s="1969"/>
      <c r="AI30" s="1969"/>
      <c r="AJ30" s="1969"/>
      <c r="AK30" s="1969"/>
      <c r="AL30" s="1969"/>
      <c r="AM30" s="1969"/>
      <c r="AN30" s="1356"/>
    </row>
    <row r="31" spans="2:40" ht="15" customHeight="1">
      <c r="B31" s="141" t="s">
        <v>389</v>
      </c>
      <c r="C31" s="1975" t="s">
        <v>750</v>
      </c>
      <c r="D31" s="1976"/>
      <c r="E31" s="1976"/>
      <c r="F31" s="1976"/>
      <c r="G31" s="1976"/>
      <c r="H31" s="1976"/>
      <c r="I31" s="1976"/>
      <c r="J31" s="1976"/>
      <c r="K31" s="1976"/>
      <c r="L31" s="1976"/>
      <c r="M31" s="1976"/>
      <c r="N31" s="1976"/>
      <c r="O31" s="1976"/>
      <c r="P31" s="1976"/>
      <c r="Q31" s="1977"/>
      <c r="R31" s="1006">
        <f>'GENERAL INFO'!O175</f>
        <v>0</v>
      </c>
      <c r="S31" s="1303"/>
      <c r="T31" s="1303"/>
      <c r="U31" s="1303"/>
      <c r="V31" s="1303"/>
      <c r="W31" s="1303"/>
      <c r="X31" s="1303"/>
      <c r="Y31" s="1303"/>
      <c r="Z31" s="1303"/>
      <c r="AA31" s="1303"/>
      <c r="AB31" s="1303"/>
      <c r="AC31" s="924"/>
      <c r="AD31" s="1006">
        <f>'[14]GENERAL INFO'!T176</f>
        <v>0</v>
      </c>
      <c r="AE31" s="1303"/>
      <c r="AF31" s="1303"/>
      <c r="AG31" s="1303"/>
      <c r="AH31" s="1303"/>
      <c r="AI31" s="1303"/>
      <c r="AJ31" s="1303"/>
      <c r="AK31" s="1303"/>
      <c r="AL31" s="1303"/>
      <c r="AM31" s="1303"/>
      <c r="AN31" s="243"/>
    </row>
    <row r="32" spans="2:40" ht="9" customHeight="1">
      <c r="B32" s="1293"/>
      <c r="C32" s="1978"/>
      <c r="D32" s="1979"/>
      <c r="E32" s="1979"/>
      <c r="F32" s="1979"/>
      <c r="G32" s="1979"/>
      <c r="H32" s="1979"/>
      <c r="I32" s="1979"/>
      <c r="J32" s="1979"/>
      <c r="K32" s="1979"/>
      <c r="L32" s="1979"/>
      <c r="M32" s="1979"/>
      <c r="N32" s="1979"/>
      <c r="O32" s="1979"/>
      <c r="P32" s="1979"/>
      <c r="Q32" s="1980"/>
      <c r="R32" s="1966"/>
      <c r="S32" s="1967"/>
      <c r="T32" s="1967"/>
      <c r="U32" s="1967"/>
      <c r="V32" s="1967"/>
      <c r="W32" s="1967"/>
      <c r="X32" s="1967"/>
      <c r="Y32" s="1967"/>
      <c r="Z32" s="1967"/>
      <c r="AA32" s="1967"/>
      <c r="AB32" s="1967"/>
      <c r="AC32" s="935"/>
      <c r="AD32" s="1966"/>
      <c r="AE32" s="1967"/>
      <c r="AF32" s="1967"/>
      <c r="AG32" s="1967"/>
      <c r="AH32" s="1967"/>
      <c r="AI32" s="1967"/>
      <c r="AJ32" s="1967"/>
      <c r="AK32" s="1967"/>
      <c r="AL32" s="1967"/>
      <c r="AM32" s="1967"/>
      <c r="AN32" s="263"/>
    </row>
    <row r="33" spans="2:40" ht="3" customHeight="1">
      <c r="B33" s="142"/>
      <c r="C33" s="1352"/>
      <c r="D33" s="1353"/>
      <c r="E33" s="1353"/>
      <c r="F33" s="1353"/>
      <c r="G33" s="1353"/>
      <c r="H33" s="1353"/>
      <c r="I33" s="1353"/>
      <c r="J33" s="1353"/>
      <c r="K33" s="1353"/>
      <c r="L33" s="1353"/>
      <c r="M33" s="1353"/>
      <c r="N33" s="1353"/>
      <c r="O33" s="1353"/>
      <c r="P33" s="1353"/>
      <c r="Q33" s="1354"/>
      <c r="R33" s="1292"/>
      <c r="S33" s="1355"/>
      <c r="T33" s="1355"/>
      <c r="U33" s="1355"/>
      <c r="V33" s="1355"/>
      <c r="W33" s="1355"/>
      <c r="X33" s="1355"/>
      <c r="Y33" s="1355"/>
      <c r="Z33" s="1355"/>
      <c r="AA33" s="1355"/>
      <c r="AB33" s="1355"/>
      <c r="AC33" s="1355"/>
      <c r="AD33" s="1968">
        <f>'GENERAL INFO'!T176</f>
        <v>0</v>
      </c>
      <c r="AE33" s="1969"/>
      <c r="AF33" s="1969"/>
      <c r="AG33" s="1969"/>
      <c r="AH33" s="1969"/>
      <c r="AI33" s="1969"/>
      <c r="AJ33" s="1969"/>
      <c r="AK33" s="1969"/>
      <c r="AL33" s="1969"/>
      <c r="AM33" s="1969"/>
      <c r="AN33" s="1356"/>
    </row>
    <row r="34" spans="2:40" ht="15" customHeight="1">
      <c r="B34" s="141" t="s">
        <v>390</v>
      </c>
      <c r="C34" s="1872" t="s">
        <v>751</v>
      </c>
      <c r="D34" s="983"/>
      <c r="E34" s="983"/>
      <c r="F34" s="983"/>
      <c r="G34" s="983"/>
      <c r="H34" s="983"/>
      <c r="I34" s="983"/>
      <c r="J34" s="983"/>
      <c r="K34" s="983"/>
      <c r="L34" s="983"/>
      <c r="M34" s="983"/>
      <c r="N34" s="983"/>
      <c r="O34" s="983"/>
      <c r="P34" s="983"/>
      <c r="Q34" s="922"/>
      <c r="R34" s="1006">
        <f>'GENERAL INFO'!O176</f>
        <v>0</v>
      </c>
      <c r="S34" s="1303"/>
      <c r="T34" s="1303"/>
      <c r="U34" s="1303"/>
      <c r="V34" s="1303"/>
      <c r="W34" s="1303"/>
      <c r="X34" s="1303"/>
      <c r="Y34" s="1303"/>
      <c r="Z34" s="1303"/>
      <c r="AA34" s="1303"/>
      <c r="AB34" s="1303"/>
      <c r="AC34" s="924"/>
      <c r="AD34" s="1006">
        <f>'[14]GENERAL INFO'!T177</f>
        <v>0</v>
      </c>
      <c r="AE34" s="1303"/>
      <c r="AF34" s="1303"/>
      <c r="AG34" s="1303"/>
      <c r="AH34" s="1303"/>
      <c r="AI34" s="1303"/>
      <c r="AJ34" s="1303"/>
      <c r="AK34" s="1303"/>
      <c r="AL34" s="1303"/>
      <c r="AM34" s="1303"/>
      <c r="AN34" s="243"/>
    </row>
    <row r="35" spans="2:40" ht="15" customHeight="1">
      <c r="B35" s="1293"/>
      <c r="C35" s="1866"/>
      <c r="D35" s="1867"/>
      <c r="E35" s="1867"/>
      <c r="F35" s="1867"/>
      <c r="G35" s="1867"/>
      <c r="H35" s="1867"/>
      <c r="I35" s="1867"/>
      <c r="J35" s="1867"/>
      <c r="K35" s="1867"/>
      <c r="L35" s="1867"/>
      <c r="M35" s="1867"/>
      <c r="N35" s="1867"/>
      <c r="O35" s="1867"/>
      <c r="P35" s="1867"/>
      <c r="Q35" s="1362"/>
      <c r="R35" s="1966"/>
      <c r="S35" s="1967"/>
      <c r="T35" s="1967"/>
      <c r="U35" s="1967"/>
      <c r="V35" s="1967"/>
      <c r="W35" s="1967"/>
      <c r="X35" s="1967"/>
      <c r="Y35" s="1967"/>
      <c r="Z35" s="1967"/>
      <c r="AA35" s="1967"/>
      <c r="AB35" s="1967"/>
      <c r="AC35" s="935"/>
      <c r="AD35" s="1966"/>
      <c r="AE35" s="1967"/>
      <c r="AF35" s="1967"/>
      <c r="AG35" s="1967"/>
      <c r="AH35" s="1967"/>
      <c r="AI35" s="1967"/>
      <c r="AJ35" s="1967"/>
      <c r="AK35" s="1967"/>
      <c r="AL35" s="1967"/>
      <c r="AM35" s="1967"/>
      <c r="AN35" s="263"/>
    </row>
    <row r="36" spans="2:40" ht="3" customHeight="1">
      <c r="B36" s="141"/>
      <c r="C36" s="920"/>
      <c r="D36" s="921"/>
      <c r="E36" s="921"/>
      <c r="F36" s="921"/>
      <c r="G36" s="921"/>
      <c r="H36" s="921"/>
      <c r="I36" s="921"/>
      <c r="J36" s="921"/>
      <c r="K36" s="921"/>
      <c r="L36" s="921"/>
      <c r="M36" s="921"/>
      <c r="N36" s="921"/>
      <c r="O36" s="921"/>
      <c r="P36" s="921"/>
      <c r="Q36" s="922"/>
      <c r="R36" s="982"/>
      <c r="S36" s="912"/>
      <c r="T36" s="912"/>
      <c r="U36" s="912"/>
      <c r="V36" s="912"/>
      <c r="W36" s="912"/>
      <c r="X36" s="912"/>
      <c r="Y36" s="912"/>
      <c r="Z36" s="912"/>
      <c r="AA36" s="912"/>
      <c r="AB36" s="912"/>
      <c r="AC36" s="912"/>
      <c r="AD36" s="1004"/>
      <c r="AE36" s="912"/>
      <c r="AF36" s="912"/>
      <c r="AG36" s="912"/>
      <c r="AH36" s="912"/>
      <c r="AI36" s="912"/>
      <c r="AJ36" s="912"/>
      <c r="AK36" s="912"/>
      <c r="AL36" s="912"/>
      <c r="AM36" s="912"/>
      <c r="AN36" s="144"/>
    </row>
    <row r="37" spans="2:40" ht="15" customHeight="1">
      <c r="B37" s="141" t="s">
        <v>391</v>
      </c>
      <c r="C37" s="1894" t="s">
        <v>752</v>
      </c>
      <c r="D37" s="983"/>
      <c r="E37" s="983"/>
      <c r="F37" s="983"/>
      <c r="G37" s="983"/>
      <c r="H37" s="983"/>
      <c r="I37" s="983"/>
      <c r="J37" s="983"/>
      <c r="K37" s="983"/>
      <c r="L37" s="983"/>
      <c r="M37" s="983"/>
      <c r="N37" s="983"/>
      <c r="O37" s="983"/>
      <c r="P37" s="983"/>
      <c r="Q37" s="1377"/>
      <c r="R37" s="1006">
        <f>'GENERAL INFO'!O177</f>
        <v>0</v>
      </c>
      <c r="S37" s="1303"/>
      <c r="T37" s="1303"/>
      <c r="U37" s="1303"/>
      <c r="V37" s="1303"/>
      <c r="W37" s="1303"/>
      <c r="X37" s="1303"/>
      <c r="Y37" s="1303"/>
      <c r="Z37" s="1303"/>
      <c r="AA37" s="1303"/>
      <c r="AB37" s="1303"/>
      <c r="AC37" s="924"/>
      <c r="AD37" s="1006">
        <f>'GENERAL INFO'!T177</f>
        <v>0</v>
      </c>
      <c r="AE37" s="1303"/>
      <c r="AF37" s="1303"/>
      <c r="AG37" s="1303"/>
      <c r="AH37" s="1303"/>
      <c r="AI37" s="1303"/>
      <c r="AJ37" s="1303"/>
      <c r="AK37" s="1303"/>
      <c r="AL37" s="1303"/>
      <c r="AM37" s="1303"/>
      <c r="AN37" s="243"/>
    </row>
    <row r="38" spans="2:40" ht="6.75" customHeight="1">
      <c r="B38" s="1293"/>
      <c r="C38" s="1866"/>
      <c r="D38" s="1867"/>
      <c r="E38" s="1867"/>
      <c r="F38" s="1867"/>
      <c r="G38" s="1867"/>
      <c r="H38" s="1867"/>
      <c r="I38" s="1867"/>
      <c r="J38" s="1867"/>
      <c r="K38" s="1867"/>
      <c r="L38" s="1867"/>
      <c r="M38" s="1867"/>
      <c r="N38" s="1867"/>
      <c r="O38" s="1867"/>
      <c r="P38" s="1867"/>
      <c r="Q38" s="1868"/>
      <c r="R38" s="1966"/>
      <c r="S38" s="1967"/>
      <c r="T38" s="1967"/>
      <c r="U38" s="1967"/>
      <c r="V38" s="1967"/>
      <c r="W38" s="1967"/>
      <c r="X38" s="1967"/>
      <c r="Y38" s="1967"/>
      <c r="Z38" s="1967"/>
      <c r="AA38" s="1967"/>
      <c r="AB38" s="1967"/>
      <c r="AC38" s="935"/>
      <c r="AD38" s="1966"/>
      <c r="AE38" s="1967"/>
      <c r="AF38" s="1967"/>
      <c r="AG38" s="1967"/>
      <c r="AH38" s="1967"/>
      <c r="AI38" s="1967"/>
      <c r="AJ38" s="1967"/>
      <c r="AK38" s="1967"/>
      <c r="AL38" s="1967"/>
      <c r="AM38" s="1967"/>
      <c r="AN38" s="263"/>
    </row>
    <row r="39" spans="2:40" ht="3" customHeight="1">
      <c r="B39" s="141"/>
      <c r="C39" s="928"/>
      <c r="D39" s="926"/>
      <c r="E39" s="926"/>
      <c r="F39" s="926"/>
      <c r="G39" s="926"/>
      <c r="H39" s="926"/>
      <c r="I39" s="926"/>
      <c r="J39" s="926"/>
      <c r="K39" s="926"/>
      <c r="L39" s="926"/>
      <c r="M39" s="926"/>
      <c r="N39" s="926"/>
      <c r="O39" s="926"/>
      <c r="P39" s="926"/>
      <c r="Q39" s="927"/>
      <c r="R39" s="982"/>
      <c r="S39" s="912"/>
      <c r="T39" s="912"/>
      <c r="U39" s="912"/>
      <c r="V39" s="912"/>
      <c r="W39" s="912"/>
      <c r="X39" s="912"/>
      <c r="Y39" s="912"/>
      <c r="Z39" s="912"/>
      <c r="AA39" s="912"/>
      <c r="AB39" s="912"/>
      <c r="AC39" s="912"/>
      <c r="AD39" s="1004"/>
      <c r="AE39" s="912"/>
      <c r="AF39" s="912"/>
      <c r="AG39" s="912"/>
      <c r="AH39" s="912"/>
      <c r="AI39" s="912"/>
      <c r="AJ39" s="912"/>
      <c r="AK39" s="912"/>
      <c r="AL39" s="912"/>
      <c r="AM39" s="912"/>
      <c r="AN39" s="144"/>
    </row>
    <row r="40" spans="2:40" ht="15" customHeight="1">
      <c r="B40" s="141" t="s">
        <v>394</v>
      </c>
      <c r="C40" s="1894" t="s">
        <v>1206</v>
      </c>
      <c r="D40" s="983"/>
      <c r="E40" s="983"/>
      <c r="F40" s="983"/>
      <c r="G40" s="983"/>
      <c r="H40" s="983"/>
      <c r="I40" s="983"/>
      <c r="J40" s="983"/>
      <c r="K40" s="983"/>
      <c r="L40" s="983"/>
      <c r="M40" s="983"/>
      <c r="N40" s="983"/>
      <c r="O40" s="983"/>
      <c r="P40" s="983"/>
      <c r="Q40" s="927"/>
      <c r="R40" s="1006">
        <f>'GENERAL INFO'!O178</f>
        <v>0</v>
      </c>
      <c r="S40" s="1303"/>
      <c r="T40" s="1303"/>
      <c r="U40" s="1303"/>
      <c r="V40" s="1303"/>
      <c r="W40" s="1303"/>
      <c r="X40" s="1303"/>
      <c r="Y40" s="1303"/>
      <c r="Z40" s="1303"/>
      <c r="AA40" s="1303"/>
      <c r="AB40" s="1303"/>
      <c r="AC40" s="924"/>
      <c r="AD40" s="1973">
        <f>'GENERAL INFO'!T178</f>
        <v>0</v>
      </c>
      <c r="AE40" s="1974"/>
      <c r="AF40" s="1974"/>
      <c r="AG40" s="1974"/>
      <c r="AH40" s="1974"/>
      <c r="AI40" s="1974"/>
      <c r="AJ40" s="1974"/>
      <c r="AK40" s="1974"/>
      <c r="AL40" s="1974"/>
      <c r="AM40" s="1974"/>
      <c r="AN40" s="266"/>
    </row>
    <row r="41" spans="2:40" ht="10.5" customHeight="1">
      <c r="B41" s="141"/>
      <c r="C41" s="1872"/>
      <c r="D41" s="983"/>
      <c r="E41" s="983"/>
      <c r="F41" s="983"/>
      <c r="G41" s="983"/>
      <c r="H41" s="983"/>
      <c r="I41" s="983"/>
      <c r="J41" s="983"/>
      <c r="K41" s="983"/>
      <c r="L41" s="983"/>
      <c r="M41" s="983"/>
      <c r="N41" s="983"/>
      <c r="O41" s="983"/>
      <c r="P41" s="983"/>
      <c r="Q41" s="927"/>
      <c r="R41" s="1006"/>
      <c r="S41" s="1303"/>
      <c r="T41" s="1303"/>
      <c r="U41" s="1303"/>
      <c r="V41" s="1303"/>
      <c r="W41" s="1303"/>
      <c r="X41" s="1303"/>
      <c r="Y41" s="1303"/>
      <c r="Z41" s="1303"/>
      <c r="AA41" s="1303"/>
      <c r="AB41" s="1303"/>
      <c r="AC41" s="924"/>
      <c r="AD41" s="1973"/>
      <c r="AE41" s="1974"/>
      <c r="AF41" s="1974"/>
      <c r="AG41" s="1974"/>
      <c r="AH41" s="1974"/>
      <c r="AI41" s="1974"/>
      <c r="AJ41" s="1974"/>
      <c r="AK41" s="1974"/>
      <c r="AL41" s="1974"/>
      <c r="AM41" s="1974"/>
      <c r="AN41" s="266"/>
    </row>
    <row r="42" spans="2:40" ht="3" customHeight="1">
      <c r="B42" s="141"/>
      <c r="C42" s="928"/>
      <c r="D42" s="926"/>
      <c r="E42" s="926"/>
      <c r="F42" s="926"/>
      <c r="G42" s="926"/>
      <c r="H42" s="926"/>
      <c r="I42" s="926"/>
      <c r="J42" s="926"/>
      <c r="K42" s="926"/>
      <c r="L42" s="926"/>
      <c r="M42" s="926"/>
      <c r="N42" s="926"/>
      <c r="O42" s="926"/>
      <c r="P42" s="926"/>
      <c r="Q42" s="927"/>
      <c r="R42" s="982"/>
      <c r="S42" s="912"/>
      <c r="T42" s="912"/>
      <c r="U42" s="912"/>
      <c r="V42" s="912"/>
      <c r="W42" s="912"/>
      <c r="X42" s="912"/>
      <c r="Y42" s="912"/>
      <c r="Z42" s="912"/>
      <c r="AA42" s="912"/>
      <c r="AB42" s="912"/>
      <c r="AC42" s="912"/>
      <c r="AD42" s="1004"/>
      <c r="AE42" s="912"/>
      <c r="AF42" s="912"/>
      <c r="AG42" s="912"/>
      <c r="AH42" s="912"/>
      <c r="AI42" s="912"/>
      <c r="AJ42" s="912"/>
      <c r="AK42" s="912"/>
      <c r="AL42" s="912"/>
      <c r="AM42" s="912"/>
      <c r="AN42" s="144"/>
    </row>
    <row r="43" spans="2:40" ht="15" customHeight="1">
      <c r="B43" s="142" t="s">
        <v>395</v>
      </c>
      <c r="C43" s="1890" t="s">
        <v>753</v>
      </c>
      <c r="D43" s="1864"/>
      <c r="E43" s="1864"/>
      <c r="F43" s="1864"/>
      <c r="G43" s="1864"/>
      <c r="H43" s="1864"/>
      <c r="I43" s="1864"/>
      <c r="J43" s="1864"/>
      <c r="K43" s="1864"/>
      <c r="L43" s="1864"/>
      <c r="M43" s="1864"/>
      <c r="N43" s="1981"/>
      <c r="O43" s="1981"/>
      <c r="P43" s="1981"/>
      <c r="Q43" s="1982"/>
      <c r="R43" s="1968">
        <f>'GENERAL INFO'!O179</f>
        <v>0</v>
      </c>
      <c r="S43" s="1969"/>
      <c r="T43" s="1969"/>
      <c r="U43" s="1969"/>
      <c r="V43" s="1969"/>
      <c r="W43" s="1969"/>
      <c r="X43" s="1969"/>
      <c r="Y43" s="1969"/>
      <c r="Z43" s="1969"/>
      <c r="AA43" s="1969"/>
      <c r="AB43" s="1969"/>
      <c r="AC43" s="919"/>
      <c r="AD43" s="1968">
        <f>'GENERAL INFO'!T179</f>
        <v>0</v>
      </c>
      <c r="AE43" s="1969"/>
      <c r="AF43" s="1969"/>
      <c r="AG43" s="1969"/>
      <c r="AH43" s="1969"/>
      <c r="AI43" s="1969"/>
      <c r="AJ43" s="1969"/>
      <c r="AK43" s="1969"/>
      <c r="AL43" s="1969"/>
      <c r="AM43" s="1969"/>
      <c r="AN43" s="256"/>
    </row>
    <row r="44" spans="2:40" ht="8.25" customHeight="1">
      <c r="B44" s="1293"/>
      <c r="C44" s="1866"/>
      <c r="D44" s="1867"/>
      <c r="E44" s="1867"/>
      <c r="F44" s="1867"/>
      <c r="G44" s="1867"/>
      <c r="H44" s="1867"/>
      <c r="I44" s="1867"/>
      <c r="J44" s="1867"/>
      <c r="K44" s="1867"/>
      <c r="L44" s="1867"/>
      <c r="M44" s="1867"/>
      <c r="N44" s="1983"/>
      <c r="O44" s="1983"/>
      <c r="P44" s="1983"/>
      <c r="Q44" s="1984"/>
      <c r="R44" s="1966"/>
      <c r="S44" s="1967"/>
      <c r="T44" s="1967"/>
      <c r="U44" s="1967"/>
      <c r="V44" s="1967"/>
      <c r="W44" s="1967"/>
      <c r="X44" s="1967"/>
      <c r="Y44" s="1967"/>
      <c r="Z44" s="1967"/>
      <c r="AA44" s="1967"/>
      <c r="AB44" s="1967"/>
      <c r="AC44" s="935"/>
      <c r="AD44" s="1966"/>
      <c r="AE44" s="1967"/>
      <c r="AF44" s="1967"/>
      <c r="AG44" s="1967"/>
      <c r="AH44" s="1967"/>
      <c r="AI44" s="1967"/>
      <c r="AJ44" s="1967"/>
      <c r="AK44" s="1967"/>
      <c r="AL44" s="1967"/>
      <c r="AM44" s="1967"/>
      <c r="AN44" s="263"/>
    </row>
    <row r="45" spans="2:40" ht="3" customHeight="1">
      <c r="B45" s="142"/>
      <c r="C45" s="1352"/>
      <c r="D45" s="1353"/>
      <c r="E45" s="1353"/>
      <c r="F45" s="1353"/>
      <c r="G45" s="1353"/>
      <c r="H45" s="1353"/>
      <c r="I45" s="1353"/>
      <c r="J45" s="1353"/>
      <c r="K45" s="1353"/>
      <c r="L45" s="1353"/>
      <c r="M45" s="1353"/>
      <c r="N45" s="1353"/>
      <c r="O45" s="1363"/>
      <c r="P45" s="1363"/>
      <c r="Q45" s="1354"/>
      <c r="R45" s="1292"/>
      <c r="S45" s="1355"/>
      <c r="T45" s="1355"/>
      <c r="U45" s="1355"/>
      <c r="V45" s="1355"/>
      <c r="W45" s="1355"/>
      <c r="X45" s="1355"/>
      <c r="Y45" s="1355"/>
      <c r="Z45" s="1355"/>
      <c r="AA45" s="1355"/>
      <c r="AB45" s="1355"/>
      <c r="AC45" s="1355"/>
      <c r="AD45" s="1968">
        <f>'GENERAL INFO'!T180</f>
        <v>0</v>
      </c>
      <c r="AE45" s="1969"/>
      <c r="AF45" s="1969"/>
      <c r="AG45" s="1969"/>
      <c r="AH45" s="1969"/>
      <c r="AI45" s="1969"/>
      <c r="AJ45" s="1969"/>
      <c r="AK45" s="1969"/>
      <c r="AL45" s="1969"/>
      <c r="AM45" s="1969"/>
      <c r="AN45" s="1356"/>
    </row>
    <row r="46" spans="2:40" ht="15" customHeight="1">
      <c r="B46" s="141" t="s">
        <v>396</v>
      </c>
      <c r="C46" s="1960" t="s">
        <v>754</v>
      </c>
      <c r="D46" s="1961"/>
      <c r="E46" s="1961"/>
      <c r="F46" s="1961"/>
      <c r="G46" s="1961"/>
      <c r="H46" s="1961"/>
      <c r="I46" s="1961"/>
      <c r="J46" s="1961"/>
      <c r="K46" s="1961"/>
      <c r="L46" s="1961"/>
      <c r="M46" s="1961"/>
      <c r="N46" s="1961"/>
      <c r="O46" s="1961"/>
      <c r="P46" s="1961"/>
      <c r="Q46" s="1962"/>
      <c r="R46" s="1006">
        <f>'GENERAL INFO'!O180</f>
        <v>0</v>
      </c>
      <c r="S46" s="1303"/>
      <c r="T46" s="1303"/>
      <c r="U46" s="1303"/>
      <c r="V46" s="1303"/>
      <c r="W46" s="1303"/>
      <c r="X46" s="1303"/>
      <c r="Y46" s="1303"/>
      <c r="Z46" s="1303"/>
      <c r="AA46" s="1303"/>
      <c r="AB46" s="1303"/>
      <c r="AC46" s="924"/>
      <c r="AD46" s="1006">
        <f>'[14]GENERAL INFO'!T181</f>
        <v>0</v>
      </c>
      <c r="AE46" s="1303"/>
      <c r="AF46" s="1303"/>
      <c r="AG46" s="1303"/>
      <c r="AH46" s="1303"/>
      <c r="AI46" s="1303"/>
      <c r="AJ46" s="1303"/>
      <c r="AK46" s="1303"/>
      <c r="AL46" s="1303"/>
      <c r="AM46" s="1303"/>
      <c r="AN46" s="243"/>
    </row>
    <row r="47" spans="2:40" ht="15" customHeight="1">
      <c r="B47" s="1293"/>
      <c r="C47" s="1963"/>
      <c r="D47" s="1964"/>
      <c r="E47" s="1964"/>
      <c r="F47" s="1964"/>
      <c r="G47" s="1964"/>
      <c r="H47" s="1964"/>
      <c r="I47" s="1964"/>
      <c r="J47" s="1964"/>
      <c r="K47" s="1964"/>
      <c r="L47" s="1964"/>
      <c r="M47" s="1964"/>
      <c r="N47" s="1964"/>
      <c r="O47" s="1964"/>
      <c r="P47" s="1964"/>
      <c r="Q47" s="1965"/>
      <c r="R47" s="1966"/>
      <c r="S47" s="1967"/>
      <c r="T47" s="1967"/>
      <c r="U47" s="1967"/>
      <c r="V47" s="1967"/>
      <c r="W47" s="1967"/>
      <c r="X47" s="1967"/>
      <c r="Y47" s="1967"/>
      <c r="Z47" s="1967"/>
      <c r="AA47" s="1967"/>
      <c r="AB47" s="1967"/>
      <c r="AC47" s="935"/>
      <c r="AD47" s="1966"/>
      <c r="AE47" s="1967"/>
      <c r="AF47" s="1967"/>
      <c r="AG47" s="1967"/>
      <c r="AH47" s="1967"/>
      <c r="AI47" s="1967"/>
      <c r="AJ47" s="1967"/>
      <c r="AK47" s="1967"/>
      <c r="AL47" s="1967"/>
      <c r="AM47" s="1967"/>
      <c r="AN47" s="263"/>
    </row>
    <row r="48" spans="2:40" ht="3" customHeight="1">
      <c r="B48" s="142"/>
      <c r="C48" s="1352"/>
      <c r="D48" s="1353"/>
      <c r="E48" s="1353"/>
      <c r="F48" s="1353"/>
      <c r="G48" s="1353"/>
      <c r="H48" s="1353"/>
      <c r="I48" s="1353"/>
      <c r="J48" s="1353"/>
      <c r="K48" s="1353"/>
      <c r="L48" s="1353"/>
      <c r="M48" s="1353"/>
      <c r="N48" s="1353"/>
      <c r="O48" s="1363"/>
      <c r="P48" s="1363"/>
      <c r="Q48" s="1354"/>
      <c r="R48" s="1292"/>
      <c r="S48" s="1355"/>
      <c r="T48" s="1355"/>
      <c r="U48" s="1355"/>
      <c r="V48" s="1355"/>
      <c r="W48" s="1355"/>
      <c r="X48" s="1355"/>
      <c r="Y48" s="1355"/>
      <c r="Z48" s="1355"/>
      <c r="AA48" s="1355"/>
      <c r="AB48" s="1355"/>
      <c r="AC48" s="1355"/>
      <c r="AD48" s="1968">
        <f>'GENERAL INFO'!T181</f>
        <v>0</v>
      </c>
      <c r="AE48" s="1969"/>
      <c r="AF48" s="1969"/>
      <c r="AG48" s="1969"/>
      <c r="AH48" s="1969"/>
      <c r="AI48" s="1969"/>
      <c r="AJ48" s="1969"/>
      <c r="AK48" s="1969"/>
      <c r="AL48" s="1969"/>
      <c r="AM48" s="1969"/>
      <c r="AN48" s="1356"/>
    </row>
    <row r="49" spans="2:40" ht="15" customHeight="1">
      <c r="B49" s="141" t="s">
        <v>397</v>
      </c>
      <c r="C49" s="1985" t="s">
        <v>1207</v>
      </c>
      <c r="D49" s="1961"/>
      <c r="E49" s="1961"/>
      <c r="F49" s="1961"/>
      <c r="G49" s="1961"/>
      <c r="H49" s="1961"/>
      <c r="I49" s="1961"/>
      <c r="J49" s="1961"/>
      <c r="K49" s="1961"/>
      <c r="L49" s="1961"/>
      <c r="M49" s="1961"/>
      <c r="N49" s="1961"/>
      <c r="O49" s="1961"/>
      <c r="P49" s="1961"/>
      <c r="Q49" s="1962"/>
      <c r="R49" s="1006">
        <f>'GENERAL INFO'!O181</f>
        <v>0</v>
      </c>
      <c r="S49" s="1303"/>
      <c r="T49" s="1303"/>
      <c r="U49" s="1303"/>
      <c r="V49" s="1303"/>
      <c r="W49" s="1303"/>
      <c r="X49" s="1303"/>
      <c r="Y49" s="1303"/>
      <c r="Z49" s="1303"/>
      <c r="AA49" s="1303"/>
      <c r="AB49" s="1303"/>
      <c r="AC49" s="924"/>
      <c r="AD49" s="1006">
        <f>'[14]GENERAL INFO'!T182</f>
        <v>0</v>
      </c>
      <c r="AE49" s="1303"/>
      <c r="AF49" s="1303"/>
      <c r="AG49" s="1303"/>
      <c r="AH49" s="1303"/>
      <c r="AI49" s="1303"/>
      <c r="AJ49" s="1303"/>
      <c r="AK49" s="1303"/>
      <c r="AL49" s="1303"/>
      <c r="AM49" s="1303"/>
      <c r="AN49" s="243"/>
    </row>
    <row r="50" spans="2:40" ht="15" customHeight="1">
      <c r="B50" s="1293"/>
      <c r="C50" s="1963"/>
      <c r="D50" s="1964"/>
      <c r="E50" s="1964"/>
      <c r="F50" s="1964"/>
      <c r="G50" s="1964"/>
      <c r="H50" s="1964"/>
      <c r="I50" s="1964"/>
      <c r="J50" s="1964"/>
      <c r="K50" s="1964"/>
      <c r="L50" s="1964"/>
      <c r="M50" s="1964"/>
      <c r="N50" s="1964"/>
      <c r="O50" s="1964"/>
      <c r="P50" s="1964"/>
      <c r="Q50" s="1965"/>
      <c r="R50" s="1966"/>
      <c r="S50" s="1967"/>
      <c r="T50" s="1967"/>
      <c r="U50" s="1967"/>
      <c r="V50" s="1967"/>
      <c r="W50" s="1967"/>
      <c r="X50" s="1967"/>
      <c r="Y50" s="1967"/>
      <c r="Z50" s="1967"/>
      <c r="AA50" s="1967"/>
      <c r="AB50" s="1967"/>
      <c r="AC50" s="935"/>
      <c r="AD50" s="1966"/>
      <c r="AE50" s="1967"/>
      <c r="AF50" s="1967"/>
      <c r="AG50" s="1967"/>
      <c r="AH50" s="1967"/>
      <c r="AI50" s="1967"/>
      <c r="AJ50" s="1967"/>
      <c r="AK50" s="1967"/>
      <c r="AL50" s="1967"/>
      <c r="AM50" s="1967"/>
      <c r="AN50" s="263"/>
    </row>
    <row r="51" spans="2:40" ht="3" customHeight="1">
      <c r="B51" s="142"/>
      <c r="C51" s="1352"/>
      <c r="D51" s="1353"/>
      <c r="E51" s="1353"/>
      <c r="F51" s="1353"/>
      <c r="G51" s="1353"/>
      <c r="H51" s="1353"/>
      <c r="I51" s="1353"/>
      <c r="J51" s="1353"/>
      <c r="K51" s="1353"/>
      <c r="L51" s="1353"/>
      <c r="M51" s="1353"/>
      <c r="N51" s="1353"/>
      <c r="O51" s="1363"/>
      <c r="P51" s="1363"/>
      <c r="Q51" s="1354"/>
      <c r="R51" s="1364"/>
      <c r="S51" s="1365"/>
      <c r="T51" s="1365"/>
      <c r="U51" s="1365"/>
      <c r="V51" s="1365"/>
      <c r="W51" s="1365"/>
      <c r="X51" s="1365"/>
      <c r="Y51" s="1365"/>
      <c r="Z51" s="1365"/>
      <c r="AA51" s="1365"/>
      <c r="AB51" s="1365"/>
      <c r="AC51" s="1365"/>
      <c r="AD51" s="1986"/>
      <c r="AE51" s="1987"/>
      <c r="AF51" s="1987"/>
      <c r="AG51" s="1987"/>
      <c r="AH51" s="1987"/>
      <c r="AI51" s="1987"/>
      <c r="AJ51" s="1987"/>
      <c r="AK51" s="1987"/>
      <c r="AL51" s="1987"/>
      <c r="AM51" s="1987"/>
      <c r="AN51" s="1366"/>
    </row>
    <row r="52" spans="2:40" ht="15" customHeight="1">
      <c r="B52" s="141" t="s">
        <v>398</v>
      </c>
      <c r="C52" s="1960" t="s">
        <v>755</v>
      </c>
      <c r="D52" s="1961"/>
      <c r="E52" s="1961"/>
      <c r="F52" s="1961"/>
      <c r="G52" s="1961"/>
      <c r="H52" s="1961"/>
      <c r="I52" s="1961"/>
      <c r="J52" s="1961"/>
      <c r="K52" s="1961"/>
      <c r="L52" s="1961"/>
      <c r="M52" s="1961"/>
      <c r="N52" s="1961"/>
      <c r="O52" s="1961"/>
      <c r="P52" s="1961"/>
      <c r="Q52" s="1962"/>
      <c r="R52" s="1988"/>
      <c r="S52" s="1989"/>
      <c r="T52" s="1989"/>
      <c r="U52" s="1989"/>
      <c r="V52" s="1989"/>
      <c r="W52" s="1989"/>
      <c r="X52" s="1989"/>
      <c r="Y52" s="1989"/>
      <c r="Z52" s="1989"/>
      <c r="AA52" s="1989"/>
      <c r="AB52" s="1989"/>
      <c r="AC52" s="929"/>
      <c r="AD52" s="1988"/>
      <c r="AE52" s="1989"/>
      <c r="AF52" s="1989"/>
      <c r="AG52" s="1989"/>
      <c r="AH52" s="1989"/>
      <c r="AI52" s="1989"/>
      <c r="AJ52" s="1989"/>
      <c r="AK52" s="1989"/>
      <c r="AL52" s="1989"/>
      <c r="AM52" s="1989"/>
      <c r="AN52" s="580"/>
    </row>
    <row r="53" spans="2:40" ht="7.5" customHeight="1">
      <c r="B53" s="1293"/>
      <c r="C53" s="1963"/>
      <c r="D53" s="1964"/>
      <c r="E53" s="1964"/>
      <c r="F53" s="1964"/>
      <c r="G53" s="1964"/>
      <c r="H53" s="1964"/>
      <c r="I53" s="1964"/>
      <c r="J53" s="1964"/>
      <c r="K53" s="1964"/>
      <c r="L53" s="1964"/>
      <c r="M53" s="1964"/>
      <c r="N53" s="1964"/>
      <c r="O53" s="1964"/>
      <c r="P53" s="1964"/>
      <c r="Q53" s="1965"/>
      <c r="R53" s="1990"/>
      <c r="S53" s="1991"/>
      <c r="T53" s="1991"/>
      <c r="U53" s="1991"/>
      <c r="V53" s="1991"/>
      <c r="W53" s="1991"/>
      <c r="X53" s="1991"/>
      <c r="Y53" s="1991"/>
      <c r="Z53" s="1991"/>
      <c r="AA53" s="1991"/>
      <c r="AB53" s="1991"/>
      <c r="AC53" s="1367"/>
      <c r="AD53" s="1990"/>
      <c r="AE53" s="1991"/>
      <c r="AF53" s="1991"/>
      <c r="AG53" s="1991"/>
      <c r="AH53" s="1991"/>
      <c r="AI53" s="1991"/>
      <c r="AJ53" s="1991"/>
      <c r="AK53" s="1991"/>
      <c r="AL53" s="1991"/>
      <c r="AM53" s="1991"/>
      <c r="AN53" s="1368"/>
    </row>
    <row r="54" spans="2:40" ht="3" customHeight="1">
      <c r="B54" s="142"/>
      <c r="C54" s="1352"/>
      <c r="D54" s="1353"/>
      <c r="E54" s="1353"/>
      <c r="F54" s="1353"/>
      <c r="G54" s="1353"/>
      <c r="H54" s="1353"/>
      <c r="I54" s="1353"/>
      <c r="J54" s="1353"/>
      <c r="K54" s="1353"/>
      <c r="L54" s="1353"/>
      <c r="M54" s="1353"/>
      <c r="N54" s="1353"/>
      <c r="O54" s="1363"/>
      <c r="P54" s="1363"/>
      <c r="Q54" s="1354"/>
      <c r="R54" s="1292"/>
      <c r="S54" s="1355"/>
      <c r="T54" s="1355"/>
      <c r="U54" s="1355"/>
      <c r="V54" s="1355"/>
      <c r="W54" s="1355"/>
      <c r="X54" s="1355"/>
      <c r="Y54" s="1355"/>
      <c r="Z54" s="1355"/>
      <c r="AA54" s="1355"/>
      <c r="AB54" s="1355"/>
      <c r="AC54" s="1355"/>
      <c r="AD54" s="1968">
        <f>'GENERAL INFO'!T183</f>
        <v>0</v>
      </c>
      <c r="AE54" s="1969"/>
      <c r="AF54" s="1969"/>
      <c r="AG54" s="1969"/>
      <c r="AH54" s="1969"/>
      <c r="AI54" s="1969"/>
      <c r="AJ54" s="1969"/>
      <c r="AK54" s="1969"/>
      <c r="AL54" s="1969"/>
      <c r="AM54" s="1969"/>
      <c r="AN54" s="1356"/>
    </row>
    <row r="55" spans="2:40" ht="15" customHeight="1">
      <c r="B55" s="141" t="s">
        <v>399</v>
      </c>
      <c r="C55" s="1960" t="s">
        <v>756</v>
      </c>
      <c r="D55" s="1961"/>
      <c r="E55" s="1961"/>
      <c r="F55" s="1961"/>
      <c r="G55" s="1961"/>
      <c r="H55" s="1961"/>
      <c r="I55" s="1961"/>
      <c r="J55" s="1961"/>
      <c r="K55" s="1961"/>
      <c r="L55" s="1961"/>
      <c r="M55" s="1961"/>
      <c r="N55" s="1961"/>
      <c r="O55" s="1961"/>
      <c r="P55" s="1961"/>
      <c r="Q55" s="1962"/>
      <c r="R55" s="1006">
        <f>'GENERAL INFO'!O183</f>
        <v>0</v>
      </c>
      <c r="S55" s="1303"/>
      <c r="T55" s="1303"/>
      <c r="U55" s="1303"/>
      <c r="V55" s="1303"/>
      <c r="W55" s="1303"/>
      <c r="X55" s="1303"/>
      <c r="Y55" s="1303"/>
      <c r="Z55" s="1303"/>
      <c r="AA55" s="1303"/>
      <c r="AB55" s="1303"/>
      <c r="AC55" s="924"/>
      <c r="AD55" s="1006">
        <f>'[14]GENERAL INFO'!T184</f>
        <v>0</v>
      </c>
      <c r="AE55" s="1303"/>
      <c r="AF55" s="1303"/>
      <c r="AG55" s="1303"/>
      <c r="AH55" s="1303"/>
      <c r="AI55" s="1303"/>
      <c r="AJ55" s="1303"/>
      <c r="AK55" s="1303"/>
      <c r="AL55" s="1303"/>
      <c r="AM55" s="1303"/>
      <c r="AN55" s="243"/>
    </row>
    <row r="56" spans="2:40" ht="9" customHeight="1">
      <c r="B56" s="1293"/>
      <c r="C56" s="1963"/>
      <c r="D56" s="1964"/>
      <c r="E56" s="1964"/>
      <c r="F56" s="1964"/>
      <c r="G56" s="1964"/>
      <c r="H56" s="1964"/>
      <c r="I56" s="1964"/>
      <c r="J56" s="1964"/>
      <c r="K56" s="1964"/>
      <c r="L56" s="1964"/>
      <c r="M56" s="1964"/>
      <c r="N56" s="1964"/>
      <c r="O56" s="1964"/>
      <c r="P56" s="1964"/>
      <c r="Q56" s="1965"/>
      <c r="R56" s="1966"/>
      <c r="S56" s="1967"/>
      <c r="T56" s="1967"/>
      <c r="U56" s="1967"/>
      <c r="V56" s="1967"/>
      <c r="W56" s="1967"/>
      <c r="X56" s="1967"/>
      <c r="Y56" s="1967"/>
      <c r="Z56" s="1967"/>
      <c r="AA56" s="1967"/>
      <c r="AB56" s="1967"/>
      <c r="AC56" s="935"/>
      <c r="AD56" s="1966"/>
      <c r="AE56" s="1967"/>
      <c r="AF56" s="1967"/>
      <c r="AG56" s="1967"/>
      <c r="AH56" s="1967"/>
      <c r="AI56" s="1967"/>
      <c r="AJ56" s="1967"/>
      <c r="AK56" s="1967"/>
      <c r="AL56" s="1967"/>
      <c r="AM56" s="1967"/>
      <c r="AN56" s="263"/>
    </row>
    <row r="57" spans="2:40" ht="3" customHeight="1">
      <c r="B57" s="307"/>
      <c r="C57" s="928"/>
      <c r="D57" s="926"/>
      <c r="E57" s="926"/>
      <c r="F57" s="926"/>
      <c r="G57" s="926"/>
      <c r="H57" s="926"/>
      <c r="I57" s="926"/>
      <c r="J57" s="921"/>
      <c r="K57" s="921"/>
      <c r="L57" s="921"/>
      <c r="M57" s="921"/>
      <c r="N57" s="921"/>
      <c r="O57" s="921"/>
      <c r="P57" s="921"/>
      <c r="Q57" s="922"/>
      <c r="R57" s="982"/>
      <c r="S57" s="912"/>
      <c r="T57" s="912"/>
      <c r="U57" s="912"/>
      <c r="V57" s="912"/>
      <c r="W57" s="912"/>
      <c r="X57" s="912"/>
      <c r="Y57" s="912"/>
      <c r="Z57" s="912"/>
      <c r="AA57" s="912"/>
      <c r="AB57" s="912"/>
      <c r="AC57" s="912"/>
      <c r="AD57" s="1004"/>
      <c r="AE57" s="912"/>
      <c r="AF57" s="912"/>
      <c r="AG57" s="912"/>
      <c r="AH57" s="912"/>
      <c r="AI57" s="912"/>
      <c r="AJ57" s="912"/>
      <c r="AK57" s="912"/>
      <c r="AL57" s="912"/>
      <c r="AM57" s="912"/>
      <c r="AN57" s="144"/>
    </row>
    <row r="58" spans="2:40" ht="15" customHeight="1">
      <c r="B58" s="1294" t="s">
        <v>400</v>
      </c>
      <c r="C58" s="1894" t="s">
        <v>757</v>
      </c>
      <c r="D58" s="983"/>
      <c r="E58" s="983"/>
      <c r="F58" s="983"/>
      <c r="G58" s="983"/>
      <c r="H58" s="983"/>
      <c r="I58" s="983"/>
      <c r="J58" s="983"/>
      <c r="K58" s="983"/>
      <c r="L58" s="983"/>
      <c r="M58" s="983"/>
      <c r="N58" s="983"/>
      <c r="O58" s="983"/>
      <c r="P58" s="983"/>
      <c r="Q58" s="1377"/>
      <c r="R58" s="1006">
        <f>'GENERAL INFO'!O184</f>
        <v>0</v>
      </c>
      <c r="S58" s="1303"/>
      <c r="T58" s="1303"/>
      <c r="U58" s="1303"/>
      <c r="V58" s="1303"/>
      <c r="W58" s="1303"/>
      <c r="X58" s="1303"/>
      <c r="Y58" s="1303"/>
      <c r="Z58" s="1303"/>
      <c r="AA58" s="1303"/>
      <c r="AB58" s="1303"/>
      <c r="AC58" s="924"/>
      <c r="AD58" s="1006">
        <f>'GENERAL INFO'!T184</f>
        <v>0</v>
      </c>
      <c r="AE58" s="1303"/>
      <c r="AF58" s="1303"/>
      <c r="AG58" s="1303"/>
      <c r="AH58" s="1303"/>
      <c r="AI58" s="1303"/>
      <c r="AJ58" s="1303"/>
      <c r="AK58" s="1303"/>
      <c r="AL58" s="1303"/>
      <c r="AM58" s="1303"/>
      <c r="AN58" s="243"/>
    </row>
    <row r="59" spans="2:40" ht="9" customHeight="1">
      <c r="B59" s="1900"/>
      <c r="C59" s="1866"/>
      <c r="D59" s="1867"/>
      <c r="E59" s="1867"/>
      <c r="F59" s="1867"/>
      <c r="G59" s="1867"/>
      <c r="H59" s="1867"/>
      <c r="I59" s="1867"/>
      <c r="J59" s="1867"/>
      <c r="K59" s="1867"/>
      <c r="L59" s="1867"/>
      <c r="M59" s="1867"/>
      <c r="N59" s="1867"/>
      <c r="O59" s="1867"/>
      <c r="P59" s="1867"/>
      <c r="Q59" s="1868"/>
      <c r="R59" s="1966"/>
      <c r="S59" s="1967"/>
      <c r="T59" s="1967"/>
      <c r="U59" s="1967"/>
      <c r="V59" s="1967"/>
      <c r="W59" s="1967"/>
      <c r="X59" s="1967"/>
      <c r="Y59" s="1967"/>
      <c r="Z59" s="1967"/>
      <c r="AA59" s="1967"/>
      <c r="AB59" s="1967"/>
      <c r="AC59" s="935"/>
      <c r="AD59" s="1966"/>
      <c r="AE59" s="1967"/>
      <c r="AF59" s="1967"/>
      <c r="AG59" s="1967"/>
      <c r="AH59" s="1967"/>
      <c r="AI59" s="1967"/>
      <c r="AJ59" s="1967"/>
      <c r="AK59" s="1967"/>
      <c r="AL59" s="1967"/>
      <c r="AM59" s="1967"/>
      <c r="AN59" s="263"/>
    </row>
    <row r="60" spans="2:40" ht="3" customHeight="1">
      <c r="B60" s="307"/>
      <c r="C60" s="930"/>
      <c r="D60" s="921"/>
      <c r="E60" s="921"/>
      <c r="F60" s="921"/>
      <c r="G60" s="921"/>
      <c r="H60" s="921"/>
      <c r="I60" s="921"/>
      <c r="J60" s="921"/>
      <c r="K60" s="921"/>
      <c r="L60" s="921"/>
      <c r="M60" s="921"/>
      <c r="N60" s="921"/>
      <c r="O60" s="921"/>
      <c r="P60" s="921"/>
      <c r="Q60" s="922"/>
      <c r="R60" s="931"/>
      <c r="S60" s="932"/>
      <c r="T60" s="932"/>
      <c r="U60" s="932"/>
      <c r="V60" s="932"/>
      <c r="W60" s="932"/>
      <c r="X60" s="932"/>
      <c r="Y60" s="932"/>
      <c r="Z60" s="932"/>
      <c r="AA60" s="932"/>
      <c r="AB60" s="932"/>
      <c r="AC60" s="932"/>
      <c r="AD60" s="933"/>
      <c r="AE60" s="912"/>
      <c r="AF60" s="912"/>
      <c r="AG60" s="912"/>
      <c r="AH60" s="912"/>
      <c r="AI60" s="912"/>
      <c r="AJ60" s="912"/>
      <c r="AK60" s="912"/>
      <c r="AL60" s="912"/>
      <c r="AM60" s="912"/>
      <c r="AN60" s="144"/>
    </row>
    <row r="61" spans="2:40" ht="15" customHeight="1">
      <c r="B61" s="141" t="s">
        <v>401</v>
      </c>
      <c r="C61" s="934" t="s">
        <v>1208</v>
      </c>
      <c r="D61" s="921"/>
      <c r="E61" s="921"/>
      <c r="F61" s="921"/>
      <c r="G61" s="921"/>
      <c r="H61" s="921"/>
      <c r="I61" s="921"/>
      <c r="J61" s="921"/>
      <c r="K61" s="921"/>
      <c r="L61" s="921"/>
      <c r="M61" s="921"/>
      <c r="N61" s="921"/>
      <c r="O61" s="921"/>
      <c r="P61" s="921"/>
      <c r="Q61" s="922"/>
      <c r="R61" s="1006">
        <f>'GENERAL INFO'!O185</f>
        <v>0</v>
      </c>
      <c r="S61" s="1303"/>
      <c r="T61" s="1303"/>
      <c r="U61" s="1303"/>
      <c r="V61" s="1303"/>
      <c r="W61" s="1303"/>
      <c r="X61" s="1303"/>
      <c r="Y61" s="1303"/>
      <c r="Z61" s="1303"/>
      <c r="AA61" s="1303"/>
      <c r="AB61" s="1303"/>
      <c r="AC61" s="924"/>
      <c r="AD61" s="1006">
        <f>'GENERAL INFO'!T185</f>
        <v>0</v>
      </c>
      <c r="AE61" s="1303"/>
      <c r="AF61" s="1303"/>
      <c r="AG61" s="1303"/>
      <c r="AH61" s="1303"/>
      <c r="AI61" s="1303"/>
      <c r="AJ61" s="1303"/>
      <c r="AK61" s="1303"/>
      <c r="AL61" s="1303"/>
      <c r="AM61" s="1303"/>
      <c r="AN61" s="243"/>
    </row>
    <row r="62" spans="2:40" ht="15" customHeight="1">
      <c r="B62" s="141"/>
      <c r="C62" s="370"/>
      <c r="D62" s="219"/>
      <c r="E62" s="219"/>
      <c r="F62" s="219"/>
      <c r="G62" s="219"/>
      <c r="H62" s="2003"/>
      <c r="I62" s="2003"/>
      <c r="J62" s="2003"/>
      <c r="K62" s="2003"/>
      <c r="L62" s="2003"/>
      <c r="M62" s="2003"/>
      <c r="N62" s="2003"/>
      <c r="O62" s="2003"/>
      <c r="P62" s="2003"/>
      <c r="Q62" s="2004"/>
      <c r="R62" s="1966"/>
      <c r="S62" s="1967"/>
      <c r="T62" s="1967"/>
      <c r="U62" s="1967"/>
      <c r="V62" s="1967"/>
      <c r="W62" s="1967"/>
      <c r="X62" s="1967"/>
      <c r="Y62" s="1967"/>
      <c r="Z62" s="1967"/>
      <c r="AA62" s="1967"/>
      <c r="AB62" s="1967"/>
      <c r="AC62" s="935"/>
      <c r="AD62" s="1966"/>
      <c r="AE62" s="1967"/>
      <c r="AF62" s="1967"/>
      <c r="AG62" s="1967"/>
      <c r="AH62" s="1967"/>
      <c r="AI62" s="1967"/>
      <c r="AJ62" s="1967"/>
      <c r="AK62" s="1967"/>
      <c r="AL62" s="1967"/>
      <c r="AM62" s="1967"/>
      <c r="AN62" s="263"/>
    </row>
    <row r="63" spans="2:40" ht="3" customHeight="1">
      <c r="B63" s="178"/>
      <c r="C63" s="1879" t="s">
        <v>712</v>
      </c>
      <c r="D63" s="1292"/>
      <c r="E63" s="1292"/>
      <c r="F63" s="1292"/>
      <c r="G63" s="1292"/>
      <c r="H63" s="1292"/>
      <c r="I63" s="1292"/>
      <c r="J63" s="1292"/>
      <c r="K63" s="1292"/>
      <c r="L63" s="1292"/>
      <c r="M63" s="1292"/>
      <c r="N63" s="1292"/>
      <c r="O63" s="1292"/>
      <c r="P63" s="1292"/>
      <c r="Q63" s="1880"/>
      <c r="R63" s="581"/>
      <c r="S63" s="582"/>
      <c r="T63" s="582"/>
      <c r="U63" s="582"/>
      <c r="V63" s="582"/>
      <c r="W63" s="582"/>
      <c r="X63" s="582"/>
      <c r="Y63" s="582"/>
      <c r="Z63" s="582"/>
      <c r="AA63" s="582"/>
      <c r="AB63" s="142" t="s">
        <v>711</v>
      </c>
      <c r="AC63" s="1895"/>
      <c r="AD63" s="1869">
        <f>SUM(AD22:AM62)</f>
        <v>0</v>
      </c>
      <c r="AE63" s="1870"/>
      <c r="AF63" s="1870"/>
      <c r="AG63" s="1870"/>
      <c r="AH63" s="1870"/>
      <c r="AI63" s="1870"/>
      <c r="AJ63" s="1870"/>
      <c r="AK63" s="1870"/>
      <c r="AL63" s="1870"/>
      <c r="AM63" s="1870"/>
      <c r="AN63" s="256"/>
    </row>
    <row r="64" spans="2:40" ht="14.25" customHeight="1">
      <c r="B64" s="174"/>
      <c r="C64" s="1004"/>
      <c r="D64" s="982"/>
      <c r="E64" s="982"/>
      <c r="F64" s="982"/>
      <c r="G64" s="982"/>
      <c r="H64" s="982"/>
      <c r="I64" s="982"/>
      <c r="J64" s="982"/>
      <c r="K64" s="982"/>
      <c r="L64" s="982"/>
      <c r="M64" s="982"/>
      <c r="N64" s="982"/>
      <c r="O64" s="982"/>
      <c r="P64" s="982"/>
      <c r="Q64" s="1881"/>
      <c r="R64" s="583"/>
      <c r="S64" s="584"/>
      <c r="T64" s="585"/>
      <c r="U64" s="585"/>
      <c r="V64" s="585"/>
      <c r="W64" s="585"/>
      <c r="X64" s="585"/>
      <c r="Y64" s="585"/>
      <c r="Z64" s="585"/>
      <c r="AA64" s="585"/>
      <c r="AB64" s="141"/>
      <c r="AC64" s="297"/>
      <c r="AD64" s="376"/>
      <c r="AE64" s="246"/>
      <c r="AF64" s="246"/>
      <c r="AG64" s="246"/>
      <c r="AH64" s="246"/>
      <c r="AI64" s="246"/>
      <c r="AJ64" s="246"/>
      <c r="AK64" s="246"/>
      <c r="AL64" s="246"/>
      <c r="AM64" s="246"/>
      <c r="AN64" s="243"/>
    </row>
    <row r="65" spans="2:40" ht="3" customHeight="1">
      <c r="B65" s="171"/>
      <c r="C65" s="1897"/>
      <c r="D65" s="1898"/>
      <c r="E65" s="1898"/>
      <c r="F65" s="1898"/>
      <c r="G65" s="1898"/>
      <c r="H65" s="1898"/>
      <c r="I65" s="1898"/>
      <c r="J65" s="1898"/>
      <c r="K65" s="1898"/>
      <c r="L65" s="1898"/>
      <c r="M65" s="1898"/>
      <c r="N65" s="1898"/>
      <c r="O65" s="1898"/>
      <c r="P65" s="1898"/>
      <c r="Q65" s="1899"/>
      <c r="R65" s="586"/>
      <c r="S65" s="586"/>
      <c r="T65" s="587"/>
      <c r="U65" s="587"/>
      <c r="V65" s="587"/>
      <c r="W65" s="587"/>
      <c r="X65" s="587"/>
      <c r="Y65" s="587"/>
      <c r="Z65" s="587"/>
      <c r="AA65" s="587"/>
      <c r="AB65" s="1293"/>
      <c r="AC65" s="1896"/>
      <c r="AD65" s="377"/>
      <c r="AE65" s="1871"/>
      <c r="AF65" s="1871"/>
      <c r="AG65" s="1871"/>
      <c r="AH65" s="1871"/>
      <c r="AI65" s="1871"/>
      <c r="AJ65" s="1871"/>
      <c r="AK65" s="1871"/>
      <c r="AL65" s="1871"/>
      <c r="AM65" s="1871"/>
      <c r="AN65" s="263"/>
    </row>
    <row r="66" spans="2:40" ht="8.15" customHeight="1">
      <c r="B66" s="164"/>
      <c r="C66" s="164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164"/>
      <c r="Z66" s="164"/>
      <c r="AA66" s="164"/>
      <c r="AB66" s="164"/>
      <c r="AC66" s="164"/>
      <c r="AD66" s="164"/>
      <c r="AE66" s="164"/>
      <c r="AF66" s="164"/>
      <c r="AG66" s="164"/>
      <c r="AH66" s="164"/>
      <c r="AI66" s="164"/>
      <c r="AJ66" s="164"/>
      <c r="AK66" s="164"/>
      <c r="AL66" s="164"/>
      <c r="AM66" s="164"/>
      <c r="AN66" s="164"/>
    </row>
    <row r="67" spans="2:40" ht="15" customHeight="1">
      <c r="B67" s="916" t="s">
        <v>714</v>
      </c>
      <c r="C67" s="916"/>
      <c r="D67" s="916"/>
      <c r="E67" s="915"/>
      <c r="F67" s="916" t="s">
        <v>26</v>
      </c>
      <c r="G67" s="916" t="s">
        <v>1209</v>
      </c>
      <c r="H67" s="916"/>
      <c r="I67" s="71"/>
      <c r="J67" s="71"/>
      <c r="K67" s="71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</row>
    <row r="68" spans="2:40" ht="4.5" customHeight="1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  <row r="69" spans="2:40" ht="12.75" customHeight="1">
      <c r="B69" s="1992" t="s">
        <v>702</v>
      </c>
      <c r="C69" s="1995" t="s">
        <v>977</v>
      </c>
      <c r="D69" s="1996"/>
      <c r="E69" s="1292" t="s">
        <v>758</v>
      </c>
      <c r="F69" s="1292"/>
      <c r="G69" s="1292"/>
      <c r="H69" s="1292"/>
      <c r="I69" s="1292"/>
      <c r="J69" s="1292"/>
      <c r="K69" s="1292"/>
      <c r="L69" s="1292"/>
      <c r="M69" s="1880"/>
      <c r="N69" s="1879" t="s">
        <v>759</v>
      </c>
      <c r="O69" s="1292"/>
      <c r="P69" s="1292"/>
      <c r="Q69" s="1880"/>
      <c r="R69" s="1917" t="s">
        <v>760</v>
      </c>
      <c r="S69" s="1295"/>
      <c r="T69" s="1295"/>
      <c r="U69" s="1295"/>
      <c r="V69" s="1295"/>
      <c r="W69" s="1295"/>
      <c r="X69" s="1295"/>
      <c r="Y69" s="1295"/>
      <c r="Z69" s="1295"/>
      <c r="AA69" s="1295"/>
      <c r="AB69" s="1295"/>
      <c r="AC69" s="1295"/>
      <c r="AD69" s="1879" t="s">
        <v>761</v>
      </c>
      <c r="AE69" s="1292"/>
      <c r="AF69" s="1292"/>
      <c r="AG69" s="1292"/>
      <c r="AH69" s="1292"/>
      <c r="AI69" s="1292"/>
      <c r="AJ69" s="1292"/>
      <c r="AK69" s="1292"/>
      <c r="AL69" s="1292"/>
      <c r="AM69" s="1292"/>
      <c r="AN69" s="1880"/>
    </row>
    <row r="70" spans="2:40" ht="12" customHeight="1">
      <c r="B70" s="1993"/>
      <c r="C70" s="1997"/>
      <c r="D70" s="1998"/>
      <c r="E70" s="982"/>
      <c r="F70" s="982"/>
      <c r="G70" s="982"/>
      <c r="H70" s="982"/>
      <c r="I70" s="982"/>
      <c r="J70" s="982"/>
      <c r="K70" s="982"/>
      <c r="L70" s="982"/>
      <c r="M70" s="1881"/>
      <c r="N70" s="1004"/>
      <c r="O70" s="982"/>
      <c r="P70" s="982"/>
      <c r="Q70" s="1881"/>
      <c r="R70" s="2001" t="s">
        <v>705</v>
      </c>
      <c r="S70" s="2002"/>
      <c r="T70" s="2002"/>
      <c r="U70" s="2002"/>
      <c r="V70" s="2002"/>
      <c r="W70" s="2002"/>
      <c r="X70" s="2002"/>
      <c r="Y70" s="2002"/>
      <c r="Z70" s="2002"/>
      <c r="AA70" s="2002"/>
      <c r="AB70" s="2002"/>
      <c r="AC70" s="2002"/>
      <c r="AD70" s="1004"/>
      <c r="AE70" s="982"/>
      <c r="AF70" s="982"/>
      <c r="AG70" s="982"/>
      <c r="AH70" s="982"/>
      <c r="AI70" s="982"/>
      <c r="AJ70" s="982"/>
      <c r="AK70" s="982"/>
      <c r="AL70" s="982"/>
      <c r="AM70" s="982"/>
      <c r="AN70" s="1881"/>
    </row>
    <row r="71" spans="2:40" ht="3" customHeight="1">
      <c r="B71" s="1994"/>
      <c r="C71" s="1999"/>
      <c r="D71" s="2000"/>
      <c r="E71" s="1898"/>
      <c r="F71" s="1898"/>
      <c r="G71" s="1898"/>
      <c r="H71" s="1898"/>
      <c r="I71" s="1898"/>
      <c r="J71" s="1898"/>
      <c r="K71" s="1898"/>
      <c r="L71" s="1898"/>
      <c r="M71" s="1899"/>
      <c r="N71" s="1897"/>
      <c r="O71" s="1898"/>
      <c r="P71" s="1898"/>
      <c r="Q71" s="1899"/>
      <c r="R71" s="936"/>
      <c r="S71" s="937"/>
      <c r="T71" s="937"/>
      <c r="U71" s="937"/>
      <c r="V71" s="937"/>
      <c r="W71" s="937"/>
      <c r="X71" s="937"/>
      <c r="Y71" s="937"/>
      <c r="Z71" s="937"/>
      <c r="AA71" s="937"/>
      <c r="AB71" s="937"/>
      <c r="AC71" s="937"/>
      <c r="AD71" s="1897"/>
      <c r="AE71" s="1898"/>
      <c r="AF71" s="1898"/>
      <c r="AG71" s="1898"/>
      <c r="AH71" s="1898"/>
      <c r="AI71" s="1898"/>
      <c r="AJ71" s="1898"/>
      <c r="AK71" s="1898"/>
      <c r="AL71" s="1898"/>
      <c r="AM71" s="1898"/>
      <c r="AN71" s="1899"/>
    </row>
    <row r="72" spans="2:40" s="68" customFormat="1" ht="11.25" customHeight="1">
      <c r="B72" s="145" t="s">
        <v>65</v>
      </c>
      <c r="C72" s="145" t="s">
        <v>64</v>
      </c>
      <c r="D72" s="1862"/>
      <c r="E72" s="145" t="s">
        <v>66</v>
      </c>
      <c r="F72" s="1861"/>
      <c r="G72" s="1861"/>
      <c r="H72" s="1861"/>
      <c r="I72" s="1861"/>
      <c r="J72" s="1861"/>
      <c r="K72" s="1861"/>
      <c r="L72" s="1861"/>
      <c r="M72" s="1862"/>
      <c r="N72" s="1861" t="s">
        <v>67</v>
      </c>
      <c r="O72" s="1861"/>
      <c r="P72" s="1861"/>
      <c r="Q72" s="1861"/>
      <c r="R72" s="145" t="s">
        <v>68</v>
      </c>
      <c r="S72" s="1861"/>
      <c r="T72" s="1861"/>
      <c r="U72" s="1861"/>
      <c r="V72" s="1861"/>
      <c r="W72" s="1861"/>
      <c r="X72" s="1861"/>
      <c r="Y72" s="1861"/>
      <c r="Z72" s="1861"/>
      <c r="AA72" s="1861"/>
      <c r="AB72" s="1861"/>
      <c r="AC72" s="1861"/>
      <c r="AD72" s="168" t="s">
        <v>100</v>
      </c>
      <c r="AE72" s="1912"/>
      <c r="AF72" s="1912"/>
      <c r="AG72" s="1912"/>
      <c r="AH72" s="1912"/>
      <c r="AI72" s="1912"/>
      <c r="AJ72" s="1912"/>
      <c r="AK72" s="1912"/>
      <c r="AL72" s="1912"/>
      <c r="AM72" s="1912"/>
      <c r="AN72" s="1913"/>
    </row>
    <row r="73" spans="2:40" ht="18" customHeight="1">
      <c r="B73" s="1304" t="s">
        <v>386</v>
      </c>
      <c r="C73" s="1968" t="str">
        <f ca="1">'Attachment JP'!B158</f>
        <v/>
      </c>
      <c r="D73" s="2005"/>
      <c r="E73" s="2007" t="str">
        <f ca="1">'Attachment JP'!D158</f>
        <v/>
      </c>
      <c r="F73" s="2007"/>
      <c r="G73" s="2007"/>
      <c r="H73" s="2007"/>
      <c r="I73" s="2007"/>
      <c r="J73" s="2007"/>
      <c r="K73" s="2007"/>
      <c r="L73" s="2007"/>
      <c r="M73" s="2008"/>
      <c r="N73" s="2009" t="str">
        <f ca="1">'Attachment JP'!O158</f>
        <v/>
      </c>
      <c r="O73" s="2010"/>
      <c r="P73" s="2010"/>
      <c r="Q73" s="2011"/>
      <c r="R73" s="2015" t="str">
        <f ca="1">'Attachment JP'!S158</f>
        <v/>
      </c>
      <c r="S73" s="2016"/>
      <c r="T73" s="2016"/>
      <c r="U73" s="2016"/>
      <c r="V73" s="2016"/>
      <c r="W73" s="2016"/>
      <c r="X73" s="2016"/>
      <c r="Y73" s="2016"/>
      <c r="Z73" s="2016"/>
      <c r="AA73" s="2016"/>
      <c r="AB73" s="2016"/>
      <c r="AC73" s="2016"/>
      <c r="AD73" s="2017" t="str">
        <f>IF(dateofdeparture&gt;0,"既にインドネシア離任済","")</f>
        <v/>
      </c>
      <c r="AE73" s="2018"/>
      <c r="AF73" s="2018"/>
      <c r="AG73" s="2018"/>
      <c r="AH73" s="2018"/>
      <c r="AI73" s="2018"/>
      <c r="AJ73" s="2018"/>
      <c r="AK73" s="2018"/>
      <c r="AL73" s="2018"/>
      <c r="AM73" s="2018"/>
      <c r="AN73" s="2019"/>
    </row>
    <row r="74" spans="2:40" ht="18" customHeight="1">
      <c r="B74" s="1294"/>
      <c r="C74" s="1006"/>
      <c r="D74" s="2006"/>
      <c r="E74" s="943"/>
      <c r="F74" s="943"/>
      <c r="G74" s="943"/>
      <c r="H74" s="943"/>
      <c r="I74" s="943"/>
      <c r="J74" s="943"/>
      <c r="K74" s="943"/>
      <c r="L74" s="943"/>
      <c r="M74" s="944"/>
      <c r="N74" s="2012"/>
      <c r="O74" s="2013"/>
      <c r="P74" s="2013"/>
      <c r="Q74" s="2014"/>
      <c r="R74" s="1305"/>
      <c r="S74" s="1306"/>
      <c r="T74" s="1306"/>
      <c r="U74" s="1306"/>
      <c r="V74" s="1306"/>
      <c r="W74" s="1306"/>
      <c r="X74" s="1306"/>
      <c r="Y74" s="1306"/>
      <c r="Z74" s="1306"/>
      <c r="AA74" s="1306"/>
      <c r="AB74" s="1306"/>
      <c r="AC74" s="1306"/>
      <c r="AD74" s="2020"/>
      <c r="AE74" s="2021"/>
      <c r="AF74" s="2021"/>
      <c r="AG74" s="2021"/>
      <c r="AH74" s="2021"/>
      <c r="AI74" s="2021"/>
      <c r="AJ74" s="2021"/>
      <c r="AK74" s="2021"/>
      <c r="AL74" s="2021"/>
      <c r="AM74" s="2021"/>
      <c r="AN74" s="2022"/>
    </row>
    <row r="75" spans="2:40" ht="3" customHeight="1">
      <c r="B75" s="141"/>
      <c r="C75" s="1006"/>
      <c r="D75" s="924"/>
      <c r="E75" s="943"/>
      <c r="F75" s="943"/>
      <c r="G75" s="943"/>
      <c r="H75" s="943"/>
      <c r="I75" s="943"/>
      <c r="J75" s="943"/>
      <c r="K75" s="943"/>
      <c r="L75" s="943"/>
      <c r="M75" s="944"/>
      <c r="N75" s="1254"/>
      <c r="O75" s="1254"/>
      <c r="P75" s="1254"/>
      <c r="Q75" s="1254"/>
      <c r="R75" s="1305"/>
      <c r="S75" s="1306"/>
      <c r="T75" s="1306"/>
      <c r="U75" s="1306"/>
      <c r="V75" s="1306"/>
      <c r="W75" s="1306"/>
      <c r="X75" s="1306"/>
      <c r="Y75" s="1306"/>
      <c r="Z75" s="1306"/>
      <c r="AA75" s="1306"/>
      <c r="AB75" s="1306"/>
      <c r="AC75" s="1306"/>
      <c r="AD75" s="938"/>
      <c r="AE75" s="939"/>
      <c r="AF75" s="940"/>
      <c r="AG75" s="941"/>
      <c r="AH75" s="942"/>
      <c r="AI75" s="942"/>
      <c r="AJ75" s="942"/>
      <c r="AK75" s="942"/>
      <c r="AL75" s="942"/>
      <c r="AM75" s="942"/>
      <c r="AN75" s="925"/>
    </row>
    <row r="76" spans="2:42" ht="17.25" customHeight="1">
      <c r="B76" s="1304" t="s">
        <v>387</v>
      </c>
      <c r="C76" s="1968" t="str">
        <f ca="1">'Attachment JP'!B159</f>
        <v/>
      </c>
      <c r="D76" s="2005"/>
      <c r="E76" s="2023" t="str">
        <f ca="1">'Attachment JP'!D159</f>
        <v/>
      </c>
      <c r="F76" s="2007"/>
      <c r="G76" s="2007"/>
      <c r="H76" s="2007"/>
      <c r="I76" s="2007"/>
      <c r="J76" s="2007"/>
      <c r="K76" s="2007"/>
      <c r="L76" s="2007"/>
      <c r="M76" s="2008"/>
      <c r="N76" s="2025" t="str">
        <f ca="1">'Attachment JP'!O159</f>
        <v/>
      </c>
      <c r="O76" s="2026"/>
      <c r="P76" s="2026"/>
      <c r="Q76" s="2027"/>
      <c r="R76" s="2015" t="str">
        <f ca="1">'Attachment JP'!S159</f>
        <v/>
      </c>
      <c r="S76" s="2016"/>
      <c r="T76" s="2016"/>
      <c r="U76" s="2016"/>
      <c r="V76" s="2016"/>
      <c r="W76" s="2016"/>
      <c r="X76" s="2016"/>
      <c r="Y76" s="2016"/>
      <c r="Z76" s="2016"/>
      <c r="AA76" s="2016"/>
      <c r="AB76" s="2016"/>
      <c r="AC76" s="2030"/>
      <c r="AD76" s="2017" t="str">
        <f>IF(dateofdeparture&gt;0,"EPOのコピーを添付","")</f>
        <v/>
      </c>
      <c r="AE76" s="2018"/>
      <c r="AF76" s="2018"/>
      <c r="AG76" s="2018"/>
      <c r="AH76" s="2018"/>
      <c r="AI76" s="2018"/>
      <c r="AJ76" s="2018"/>
      <c r="AK76" s="2018"/>
      <c r="AL76" s="2018"/>
      <c r="AM76" s="2018"/>
      <c r="AN76" s="2019"/>
      <c r="AP76" s="1285" t="s">
        <v>1395</v>
      </c>
    </row>
    <row r="77" spans="2:40" ht="17.25" customHeight="1">
      <c r="B77" s="1294"/>
      <c r="C77" s="1006"/>
      <c r="D77" s="2006"/>
      <c r="E77" s="2024"/>
      <c r="F77" s="943"/>
      <c r="G77" s="943"/>
      <c r="H77" s="943"/>
      <c r="I77" s="943"/>
      <c r="J77" s="943"/>
      <c r="K77" s="943"/>
      <c r="L77" s="943"/>
      <c r="M77" s="944"/>
      <c r="N77" s="2028"/>
      <c r="O77" s="1254"/>
      <c r="P77" s="1254"/>
      <c r="Q77" s="2029"/>
      <c r="R77" s="1305"/>
      <c r="S77" s="1306"/>
      <c r="T77" s="1306"/>
      <c r="U77" s="1306"/>
      <c r="V77" s="1306"/>
      <c r="W77" s="1306"/>
      <c r="X77" s="1306"/>
      <c r="Y77" s="1306"/>
      <c r="Z77" s="1306"/>
      <c r="AA77" s="1306"/>
      <c r="AB77" s="1306"/>
      <c r="AC77" s="2031"/>
      <c r="AD77" s="2020"/>
      <c r="AE77" s="2021"/>
      <c r="AF77" s="2021"/>
      <c r="AG77" s="2021"/>
      <c r="AH77" s="2021"/>
      <c r="AI77" s="2021"/>
      <c r="AJ77" s="2021"/>
      <c r="AK77" s="2021"/>
      <c r="AL77" s="2021"/>
      <c r="AM77" s="2021"/>
      <c r="AN77" s="2022"/>
    </row>
    <row r="78" spans="2:40" ht="3" customHeight="1">
      <c r="B78" s="141"/>
      <c r="C78" s="1006"/>
      <c r="D78" s="924"/>
      <c r="E78" s="943"/>
      <c r="F78" s="943"/>
      <c r="G78" s="943"/>
      <c r="H78" s="943"/>
      <c r="I78" s="943"/>
      <c r="J78" s="943"/>
      <c r="K78" s="943"/>
      <c r="L78" s="943"/>
      <c r="M78" s="944"/>
      <c r="N78" s="1254"/>
      <c r="O78" s="1254"/>
      <c r="P78" s="1254"/>
      <c r="Q78" s="1254"/>
      <c r="R78" s="1305"/>
      <c r="S78" s="1306"/>
      <c r="T78" s="1306"/>
      <c r="U78" s="1306"/>
      <c r="V78" s="1306"/>
      <c r="W78" s="1306"/>
      <c r="X78" s="1306"/>
      <c r="Y78" s="1306"/>
      <c r="Z78" s="1306"/>
      <c r="AA78" s="1306"/>
      <c r="AB78" s="1306"/>
      <c r="AC78" s="1306"/>
      <c r="AD78" s="938"/>
      <c r="AE78" s="939"/>
      <c r="AF78" s="940"/>
      <c r="AG78" s="941"/>
      <c r="AH78" s="942"/>
      <c r="AI78" s="942"/>
      <c r="AJ78" s="942"/>
      <c r="AK78" s="942"/>
      <c r="AL78" s="942"/>
      <c r="AM78" s="942"/>
      <c r="AN78" s="925"/>
    </row>
    <row r="79" spans="2:40" ht="18" customHeight="1">
      <c r="B79" s="1304" t="s">
        <v>388</v>
      </c>
      <c r="C79" s="1968" t="str">
        <f ca="1">'Attachment JP'!B160</f>
        <v/>
      </c>
      <c r="D79" s="2005"/>
      <c r="E79" s="2023" t="str">
        <f ca="1">'Attachment JP'!D160</f>
        <v/>
      </c>
      <c r="F79" s="2007"/>
      <c r="G79" s="2007"/>
      <c r="H79" s="2007"/>
      <c r="I79" s="2007"/>
      <c r="J79" s="2007"/>
      <c r="K79" s="2007"/>
      <c r="L79" s="2007"/>
      <c r="M79" s="2008"/>
      <c r="N79" s="2025" t="str">
        <f ca="1">'Attachment JP'!O160</f>
        <v/>
      </c>
      <c r="O79" s="2026"/>
      <c r="P79" s="2026"/>
      <c r="Q79" s="2027"/>
      <c r="R79" s="2015" t="str">
        <f ca="1">'Attachment JP'!S160</f>
        <v/>
      </c>
      <c r="S79" s="2016"/>
      <c r="T79" s="2016"/>
      <c r="U79" s="2016"/>
      <c r="V79" s="2016"/>
      <c r="W79" s="2016"/>
      <c r="X79" s="2016"/>
      <c r="Y79" s="2016"/>
      <c r="Z79" s="2016"/>
      <c r="AA79" s="2016"/>
      <c r="AB79" s="2016"/>
      <c r="AC79" s="2030"/>
      <c r="AD79" s="1369"/>
      <c r="AE79" s="1370"/>
      <c r="AF79" s="1371"/>
      <c r="AG79" s="2032"/>
      <c r="AH79" s="2032"/>
      <c r="AI79" s="2032"/>
      <c r="AJ79" s="2032"/>
      <c r="AK79" s="2032"/>
      <c r="AL79" s="2032"/>
      <c r="AM79" s="2032"/>
      <c r="AN79" s="2033"/>
    </row>
    <row r="80" spans="2:40" ht="18" customHeight="1">
      <c r="B80" s="1294"/>
      <c r="C80" s="1006"/>
      <c r="D80" s="2006"/>
      <c r="E80" s="2024"/>
      <c r="F80" s="943"/>
      <c r="G80" s="943"/>
      <c r="H80" s="943"/>
      <c r="I80" s="943"/>
      <c r="J80" s="943"/>
      <c r="K80" s="943"/>
      <c r="L80" s="943"/>
      <c r="M80" s="944"/>
      <c r="N80" s="2028"/>
      <c r="O80" s="1254"/>
      <c r="P80" s="1254"/>
      <c r="Q80" s="2029"/>
      <c r="R80" s="1305"/>
      <c r="S80" s="1306"/>
      <c r="T80" s="1306"/>
      <c r="U80" s="1306"/>
      <c r="V80" s="1306"/>
      <c r="W80" s="1306"/>
      <c r="X80" s="1306"/>
      <c r="Y80" s="1306"/>
      <c r="Z80" s="1306"/>
      <c r="AA80" s="1306"/>
      <c r="AB80" s="1306"/>
      <c r="AC80" s="2031"/>
      <c r="AD80" s="938"/>
      <c r="AE80" s="939"/>
      <c r="AF80" s="940"/>
      <c r="AG80" s="2034"/>
      <c r="AH80" s="2034"/>
      <c r="AI80" s="2034"/>
      <c r="AJ80" s="2034"/>
      <c r="AK80" s="2034"/>
      <c r="AL80" s="2034"/>
      <c r="AM80" s="2034"/>
      <c r="AN80" s="2035"/>
    </row>
    <row r="81" spans="2:40" ht="3" customHeight="1">
      <c r="B81" s="141"/>
      <c r="C81" s="1006"/>
      <c r="D81" s="924"/>
      <c r="E81" s="943"/>
      <c r="F81" s="943"/>
      <c r="G81" s="943"/>
      <c r="H81" s="943"/>
      <c r="I81" s="943"/>
      <c r="J81" s="943"/>
      <c r="K81" s="943"/>
      <c r="L81" s="943"/>
      <c r="M81" s="944"/>
      <c r="N81" s="1254"/>
      <c r="O81" s="1254"/>
      <c r="P81" s="1254"/>
      <c r="Q81" s="1254"/>
      <c r="R81" s="1305"/>
      <c r="S81" s="1306"/>
      <c r="T81" s="1306"/>
      <c r="U81" s="1306"/>
      <c r="V81" s="1306"/>
      <c r="W81" s="1306"/>
      <c r="X81" s="1306"/>
      <c r="Y81" s="1306"/>
      <c r="Z81" s="1306"/>
      <c r="AA81" s="1306"/>
      <c r="AB81" s="1306"/>
      <c r="AC81" s="1306"/>
      <c r="AD81" s="938"/>
      <c r="AE81" s="939"/>
      <c r="AF81" s="940"/>
      <c r="AG81" s="941"/>
      <c r="AH81" s="942"/>
      <c r="AI81" s="942"/>
      <c r="AJ81" s="942"/>
      <c r="AK81" s="942"/>
      <c r="AL81" s="942"/>
      <c r="AM81" s="942"/>
      <c r="AN81" s="925"/>
    </row>
    <row r="82" spans="2:40" ht="18" customHeight="1">
      <c r="B82" s="1304" t="s">
        <v>389</v>
      </c>
      <c r="C82" s="1968" t="str">
        <f ca="1">'Attachment JP'!B161</f>
        <v/>
      </c>
      <c r="D82" s="2005"/>
      <c r="E82" s="2023" t="str">
        <f ca="1">'Attachment JP'!D161</f>
        <v/>
      </c>
      <c r="F82" s="2007"/>
      <c r="G82" s="2007"/>
      <c r="H82" s="2007"/>
      <c r="I82" s="2007"/>
      <c r="J82" s="2007"/>
      <c r="K82" s="2007"/>
      <c r="L82" s="2007"/>
      <c r="M82" s="2008"/>
      <c r="N82" s="2025" t="str">
        <f ca="1">'Attachment JP'!O161</f>
        <v/>
      </c>
      <c r="O82" s="2026"/>
      <c r="P82" s="2026"/>
      <c r="Q82" s="2027"/>
      <c r="R82" s="2015" t="str">
        <f ca="1">'Attachment JP'!S161</f>
        <v/>
      </c>
      <c r="S82" s="2016"/>
      <c r="T82" s="2016"/>
      <c r="U82" s="2016"/>
      <c r="V82" s="2016"/>
      <c r="W82" s="2016"/>
      <c r="X82" s="2016"/>
      <c r="Y82" s="2016"/>
      <c r="Z82" s="2016"/>
      <c r="AA82" s="2016"/>
      <c r="AB82" s="2016"/>
      <c r="AC82" s="2030"/>
      <c r="AD82" s="1369"/>
      <c r="AE82" s="1370"/>
      <c r="AF82" s="1371"/>
      <c r="AG82" s="2032"/>
      <c r="AH82" s="2032"/>
      <c r="AI82" s="2032"/>
      <c r="AJ82" s="2032"/>
      <c r="AK82" s="2032"/>
      <c r="AL82" s="2032"/>
      <c r="AM82" s="2032"/>
      <c r="AN82" s="2033"/>
    </row>
    <row r="83" spans="2:40" ht="18" customHeight="1">
      <c r="B83" s="1294"/>
      <c r="C83" s="1006"/>
      <c r="D83" s="2006"/>
      <c r="E83" s="2024"/>
      <c r="F83" s="943"/>
      <c r="G83" s="943"/>
      <c r="H83" s="943"/>
      <c r="I83" s="943"/>
      <c r="J83" s="943"/>
      <c r="K83" s="943"/>
      <c r="L83" s="943"/>
      <c r="M83" s="944"/>
      <c r="N83" s="2028"/>
      <c r="O83" s="1254"/>
      <c r="P83" s="1254"/>
      <c r="Q83" s="2029"/>
      <c r="R83" s="1305"/>
      <c r="S83" s="1306"/>
      <c r="T83" s="1306"/>
      <c r="U83" s="1306"/>
      <c r="V83" s="1306"/>
      <c r="W83" s="1306"/>
      <c r="X83" s="1306"/>
      <c r="Y83" s="1306"/>
      <c r="Z83" s="1306"/>
      <c r="AA83" s="1306"/>
      <c r="AB83" s="1306"/>
      <c r="AC83" s="2031"/>
      <c r="AD83" s="938"/>
      <c r="AE83" s="939"/>
      <c r="AF83" s="940"/>
      <c r="AG83" s="2034"/>
      <c r="AH83" s="2034"/>
      <c r="AI83" s="2034"/>
      <c r="AJ83" s="2034"/>
      <c r="AK83" s="2034"/>
      <c r="AL83" s="2034"/>
      <c r="AM83" s="2034"/>
      <c r="AN83" s="2035"/>
    </row>
    <row r="84" spans="2:40" ht="3" customHeight="1">
      <c r="B84" s="1294"/>
      <c r="C84" s="1006"/>
      <c r="D84" s="924"/>
      <c r="E84" s="943"/>
      <c r="F84" s="943"/>
      <c r="G84" s="943"/>
      <c r="H84" s="943"/>
      <c r="I84" s="943"/>
      <c r="J84" s="943"/>
      <c r="K84" s="943"/>
      <c r="L84" s="943"/>
      <c r="M84" s="944"/>
      <c r="N84" s="1254"/>
      <c r="O84" s="1254"/>
      <c r="P84" s="1254"/>
      <c r="Q84" s="1254"/>
      <c r="R84" s="1305"/>
      <c r="S84" s="1306"/>
      <c r="T84" s="1306"/>
      <c r="U84" s="1306"/>
      <c r="V84" s="1306"/>
      <c r="W84" s="1306"/>
      <c r="X84" s="1306"/>
      <c r="Y84" s="1306"/>
      <c r="Z84" s="1306"/>
      <c r="AA84" s="1306"/>
      <c r="AB84" s="1306"/>
      <c r="AC84" s="1306"/>
      <c r="AD84" s="938"/>
      <c r="AE84" s="939"/>
      <c r="AF84" s="940"/>
      <c r="AG84" s="941"/>
      <c r="AH84" s="942"/>
      <c r="AI84" s="942"/>
      <c r="AJ84" s="942"/>
      <c r="AK84" s="942"/>
      <c r="AL84" s="942"/>
      <c r="AM84" s="942"/>
      <c r="AN84" s="925"/>
    </row>
    <row r="85" spans="2:40" ht="18" customHeight="1">
      <c r="B85" s="1304" t="s">
        <v>390</v>
      </c>
      <c r="C85" s="1968" t="str">
        <f ca="1">'Attachment JP'!B162</f>
        <v/>
      </c>
      <c r="D85" s="2005"/>
      <c r="E85" s="2023" t="str">
        <f ca="1">'Attachment JP'!D162</f>
        <v/>
      </c>
      <c r="F85" s="2007"/>
      <c r="G85" s="2007"/>
      <c r="H85" s="2007"/>
      <c r="I85" s="2007"/>
      <c r="J85" s="2007"/>
      <c r="K85" s="2007"/>
      <c r="L85" s="2007"/>
      <c r="M85" s="2008"/>
      <c r="N85" s="2025" t="str">
        <f ca="1">'Attachment JP'!O162</f>
        <v/>
      </c>
      <c r="O85" s="2026"/>
      <c r="P85" s="2026"/>
      <c r="Q85" s="2027"/>
      <c r="R85" s="2015" t="str">
        <f ca="1">'Attachment JP'!S162</f>
        <v/>
      </c>
      <c r="S85" s="2016"/>
      <c r="T85" s="2016"/>
      <c r="U85" s="2016"/>
      <c r="V85" s="2016"/>
      <c r="W85" s="2016"/>
      <c r="X85" s="2016"/>
      <c r="Y85" s="2016"/>
      <c r="Z85" s="2016"/>
      <c r="AA85" s="2016"/>
      <c r="AB85" s="2016"/>
      <c r="AC85" s="2030"/>
      <c r="AD85" s="1369"/>
      <c r="AE85" s="1370"/>
      <c r="AF85" s="1371"/>
      <c r="AG85" s="2032"/>
      <c r="AH85" s="2032"/>
      <c r="AI85" s="2032"/>
      <c r="AJ85" s="2032"/>
      <c r="AK85" s="2032"/>
      <c r="AL85" s="2032"/>
      <c r="AM85" s="2032"/>
      <c r="AN85" s="2033"/>
    </row>
    <row r="86" spans="2:40" ht="18" customHeight="1">
      <c r="B86" s="371" t="s">
        <v>729</v>
      </c>
      <c r="C86" s="1006"/>
      <c r="D86" s="2006"/>
      <c r="E86" s="2024"/>
      <c r="F86" s="943"/>
      <c r="G86" s="943"/>
      <c r="H86" s="943"/>
      <c r="I86" s="943"/>
      <c r="J86" s="943"/>
      <c r="K86" s="943"/>
      <c r="L86" s="943"/>
      <c r="M86" s="944"/>
      <c r="N86" s="2028"/>
      <c r="O86" s="1254"/>
      <c r="P86" s="1254"/>
      <c r="Q86" s="2029"/>
      <c r="R86" s="1305"/>
      <c r="S86" s="1306"/>
      <c r="T86" s="1306"/>
      <c r="U86" s="1306"/>
      <c r="V86" s="1306"/>
      <c r="W86" s="1306"/>
      <c r="X86" s="1306"/>
      <c r="Y86" s="1306"/>
      <c r="Z86" s="1306"/>
      <c r="AA86" s="1306"/>
      <c r="AB86" s="1306"/>
      <c r="AC86" s="2031"/>
      <c r="AD86" s="938"/>
      <c r="AE86" s="939"/>
      <c r="AF86" s="940"/>
      <c r="AG86" s="2034"/>
      <c r="AH86" s="2034"/>
      <c r="AI86" s="2034"/>
      <c r="AJ86" s="2034"/>
      <c r="AK86" s="2034"/>
      <c r="AL86" s="2034"/>
      <c r="AM86" s="2034"/>
      <c r="AN86" s="2035"/>
    </row>
    <row r="87" spans="2:40" ht="3" customHeight="1">
      <c r="B87" s="309"/>
      <c r="C87" s="376"/>
      <c r="D87" s="261"/>
      <c r="E87" s="257"/>
      <c r="F87" s="257"/>
      <c r="G87" s="257"/>
      <c r="H87" s="257"/>
      <c r="I87" s="257"/>
      <c r="J87" s="257"/>
      <c r="K87" s="257"/>
      <c r="L87" s="257"/>
      <c r="M87" s="258"/>
      <c r="N87" s="246"/>
      <c r="O87" s="257"/>
      <c r="P87" s="257"/>
      <c r="Q87" s="257"/>
      <c r="R87" s="776"/>
      <c r="S87" s="777"/>
      <c r="T87" s="777"/>
      <c r="U87" s="777"/>
      <c r="V87" s="777"/>
      <c r="W87" s="777"/>
      <c r="X87" s="777"/>
      <c r="Y87" s="777"/>
      <c r="Z87" s="777"/>
      <c r="AA87" s="777"/>
      <c r="AB87" s="777"/>
      <c r="AC87" s="777"/>
      <c r="AD87" s="628"/>
      <c r="AE87" s="629"/>
      <c r="AF87" s="630"/>
      <c r="AG87" s="631"/>
      <c r="AH87" s="632"/>
      <c r="AI87" s="632"/>
      <c r="AJ87" s="632"/>
      <c r="AK87" s="632"/>
      <c r="AL87" s="632"/>
      <c r="AM87" s="632"/>
      <c r="AN87" s="263"/>
    </row>
    <row r="88" spans="2:40" ht="15" customHeight="1">
      <c r="B88" s="146"/>
      <c r="C88" s="142" t="s">
        <v>721</v>
      </c>
      <c r="D88" s="1307"/>
      <c r="E88" s="1307"/>
      <c r="F88" s="1307"/>
      <c r="G88" s="1307"/>
      <c r="H88" s="1307"/>
      <c r="I88" s="1307"/>
      <c r="J88" s="1307"/>
      <c r="K88" s="1307"/>
      <c r="L88" s="1307"/>
      <c r="M88" s="1895"/>
      <c r="N88" s="170"/>
      <c r="O88" s="170"/>
      <c r="P88" s="142" t="s">
        <v>720</v>
      </c>
      <c r="Q88" s="1895"/>
      <c r="R88" s="2036">
        <f ca="1">SUM(R73:AC86)</f>
        <v>0</v>
      </c>
      <c r="S88" s="2037"/>
      <c r="T88" s="2037"/>
      <c r="U88" s="2037"/>
      <c r="V88" s="2037"/>
      <c r="W88" s="2037"/>
      <c r="X88" s="2037"/>
      <c r="Y88" s="2037"/>
      <c r="Z88" s="2037"/>
      <c r="AA88" s="2037"/>
      <c r="AB88" s="2037"/>
      <c r="AC88" s="622"/>
      <c r="AD88" s="626"/>
      <c r="AE88" s="183"/>
      <c r="AF88" s="183"/>
      <c r="AG88" s="183"/>
      <c r="AH88" s="183"/>
      <c r="AI88" s="183"/>
      <c r="AJ88" s="183"/>
      <c r="AK88" s="184"/>
      <c r="AL88" s="184"/>
      <c r="AM88" s="184"/>
      <c r="AN88" s="185"/>
    </row>
    <row r="89" spans="2:40" ht="4.5" customHeight="1">
      <c r="B89" s="154"/>
      <c r="C89" s="141"/>
      <c r="D89" s="67"/>
      <c r="E89" s="67"/>
      <c r="F89" s="67"/>
      <c r="G89" s="67"/>
      <c r="H89" s="67"/>
      <c r="I89" s="67"/>
      <c r="J89" s="67"/>
      <c r="K89" s="67"/>
      <c r="L89" s="67"/>
      <c r="M89" s="297"/>
      <c r="N89" s="99"/>
      <c r="O89" s="99"/>
      <c r="P89" s="141"/>
      <c r="Q89" s="297"/>
      <c r="R89" s="2038"/>
      <c r="S89" s="2039"/>
      <c r="T89" s="2039"/>
      <c r="U89" s="2039"/>
      <c r="V89" s="2039"/>
      <c r="W89" s="2039"/>
      <c r="X89" s="2039"/>
      <c r="Y89" s="2039"/>
      <c r="Z89" s="2039"/>
      <c r="AA89" s="2039"/>
      <c r="AB89" s="2039"/>
      <c r="AC89" s="623"/>
      <c r="AD89" s="627"/>
      <c r="AE89" s="97"/>
      <c r="AF89" s="97"/>
      <c r="AG89" s="97"/>
      <c r="AH89" s="97"/>
      <c r="AI89" s="97"/>
      <c r="AJ89" s="97"/>
      <c r="AK89" s="98"/>
      <c r="AL89" s="98"/>
      <c r="AM89" s="98"/>
      <c r="AN89" s="179"/>
    </row>
    <row r="90" spans="2:40" ht="3" customHeight="1" hidden="1">
      <c r="B90" s="177"/>
      <c r="C90" s="1293"/>
      <c r="D90" s="1901"/>
      <c r="E90" s="1901"/>
      <c r="F90" s="1901"/>
      <c r="G90" s="1901"/>
      <c r="H90" s="1901"/>
      <c r="I90" s="1901"/>
      <c r="J90" s="1901"/>
      <c r="K90" s="1901"/>
      <c r="L90" s="1901"/>
      <c r="M90" s="1896"/>
      <c r="N90" s="156"/>
      <c r="O90" s="156"/>
      <c r="P90" s="1293"/>
      <c r="Q90" s="1896"/>
      <c r="R90" s="272"/>
      <c r="S90" s="273"/>
      <c r="T90" s="273"/>
      <c r="U90" s="273"/>
      <c r="V90" s="273"/>
      <c r="W90" s="273"/>
      <c r="X90" s="273"/>
      <c r="Y90" s="273"/>
      <c r="Z90" s="273"/>
      <c r="AA90" s="273"/>
      <c r="AB90" s="273"/>
      <c r="AC90" s="273"/>
      <c r="AD90" s="273"/>
      <c r="AE90" s="273"/>
      <c r="AF90" s="274"/>
      <c r="AG90" s="180"/>
      <c r="AH90" s="180"/>
      <c r="AI90" s="180"/>
      <c r="AJ90" s="180"/>
      <c r="AK90" s="181"/>
      <c r="AL90" s="181"/>
      <c r="AM90" s="181"/>
      <c r="AN90" s="182"/>
    </row>
    <row r="91" spans="2:40" ht="5.25" customHeight="1"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  <c r="AC91" s="133"/>
      <c r="AD91" s="45"/>
      <c r="AE91" s="45"/>
      <c r="AF91" s="45"/>
      <c r="AG91" s="45"/>
      <c r="AH91" s="45"/>
      <c r="AI91" s="45"/>
      <c r="AJ91" s="164"/>
      <c r="AK91" s="164"/>
      <c r="AL91" s="164"/>
      <c r="AM91" s="164"/>
      <c r="AN91" s="164"/>
    </row>
    <row r="92" spans="2:40" ht="3" customHeight="1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4"/>
      <c r="AE92" s="4"/>
      <c r="AF92" s="4"/>
      <c r="AG92" s="4"/>
      <c r="AH92" s="4"/>
      <c r="AI92" s="4"/>
      <c r="AJ92"/>
      <c r="AK92"/>
      <c r="AL92"/>
      <c r="AM92"/>
      <c r="AN92"/>
    </row>
    <row r="93" spans="2:40" ht="15" customHeight="1">
      <c r="B93" s="916" t="s">
        <v>722</v>
      </c>
      <c r="C93" s="946"/>
      <c r="D93" s="946"/>
      <c r="E93" s="915"/>
      <c r="F93" s="946" t="s">
        <v>26</v>
      </c>
      <c r="G93" s="947" t="s">
        <v>1210</v>
      </c>
      <c r="H93" s="915"/>
      <c r="I93" s="946"/>
      <c r="J93" s="946"/>
      <c r="K93" s="72"/>
      <c r="L93" s="79"/>
      <c r="M93" s="4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7"/>
      <c r="AC93" s="11"/>
      <c r="AD93" s="4"/>
      <c r="AE93" s="4"/>
      <c r="AF93" s="4"/>
      <c r="AG93" s="4"/>
      <c r="AH93" s="4"/>
      <c r="AI93" s="4"/>
      <c r="AJ93"/>
      <c r="AK93"/>
      <c r="AL93"/>
      <c r="AM93"/>
      <c r="AN93"/>
    </row>
    <row r="94" spans="2:40" ht="3" customHeight="1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4"/>
      <c r="AE94" s="4"/>
      <c r="AF94" s="4"/>
      <c r="AG94" s="4"/>
      <c r="AH94" s="4"/>
      <c r="AI94" s="4"/>
      <c r="AJ94"/>
      <c r="AK94"/>
      <c r="AL94"/>
      <c r="AM94"/>
      <c r="AN94"/>
    </row>
    <row r="95" spans="2:40" ht="3" customHeight="1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4"/>
      <c r="AE95" s="4"/>
      <c r="AF95" s="4"/>
      <c r="AG95" s="4"/>
      <c r="AH95" s="4"/>
      <c r="AI95" s="4"/>
      <c r="AJ95"/>
      <c r="AK95"/>
      <c r="AL95"/>
      <c r="AM95"/>
      <c r="AN95"/>
    </row>
    <row r="96" spans="2:40" ht="15" customHeight="1">
      <c r="B96" s="1992" t="s">
        <v>702</v>
      </c>
      <c r="C96" s="1995" t="s">
        <v>978</v>
      </c>
      <c r="D96" s="1996"/>
      <c r="E96" s="1879" t="s">
        <v>1211</v>
      </c>
      <c r="F96" s="1292"/>
      <c r="G96" s="1292"/>
      <c r="H96" s="1292"/>
      <c r="I96" s="1292"/>
      <c r="J96" s="1292"/>
      <c r="K96" s="1292"/>
      <c r="L96" s="1292"/>
      <c r="M96" s="1292"/>
      <c r="N96" s="1292"/>
      <c r="O96" s="1880"/>
      <c r="P96" s="1915" t="s">
        <v>1211</v>
      </c>
      <c r="Q96" s="2040"/>
      <c r="R96" s="2040"/>
      <c r="S96" s="2040"/>
      <c r="T96" s="2040"/>
      <c r="U96" s="2040"/>
      <c r="V96" s="2040"/>
      <c r="W96" s="2040"/>
      <c r="X96" s="2040"/>
      <c r="Y96" s="2041"/>
      <c r="Z96" s="1917" t="s">
        <v>1212</v>
      </c>
      <c r="AA96" s="1295"/>
      <c r="AB96" s="1295"/>
      <c r="AC96" s="1916"/>
      <c r="AD96" s="1879" t="s">
        <v>762</v>
      </c>
      <c r="AE96" s="1292"/>
      <c r="AF96" s="1292"/>
      <c r="AG96" s="1292"/>
      <c r="AH96" s="1292"/>
      <c r="AI96" s="1292"/>
      <c r="AJ96" s="1292"/>
      <c r="AK96" s="1292"/>
      <c r="AL96" s="1292"/>
      <c r="AM96" s="1292"/>
      <c r="AN96" s="1880"/>
    </row>
    <row r="97" spans="2:55" ht="15.75" customHeight="1">
      <c r="B97" s="1993"/>
      <c r="C97" s="1997"/>
      <c r="D97" s="1998"/>
      <c r="E97" s="1004" t="s">
        <v>629</v>
      </c>
      <c r="F97" s="982"/>
      <c r="G97" s="982"/>
      <c r="H97" s="982"/>
      <c r="I97" s="982"/>
      <c r="J97" s="982"/>
      <c r="K97" s="982"/>
      <c r="L97" s="982"/>
      <c r="M97" s="982"/>
      <c r="N97" s="982"/>
      <c r="O97" s="1881"/>
      <c r="P97" s="2042" t="s">
        <v>1213</v>
      </c>
      <c r="Q97" s="2043"/>
      <c r="R97" s="2043"/>
      <c r="S97" s="2043"/>
      <c r="T97" s="2043"/>
      <c r="U97" s="2043"/>
      <c r="V97" s="2043"/>
      <c r="W97" s="2043"/>
      <c r="X97" s="2043"/>
      <c r="Y97" s="2044"/>
      <c r="Z97" s="2045" t="s">
        <v>1214</v>
      </c>
      <c r="AA97" s="2046"/>
      <c r="AB97" s="2046"/>
      <c r="AC97" s="2047"/>
      <c r="AD97" s="1004"/>
      <c r="AE97" s="982"/>
      <c r="AF97" s="982"/>
      <c r="AG97" s="982"/>
      <c r="AH97" s="982"/>
      <c r="AI97" s="982"/>
      <c r="AJ97" s="982"/>
      <c r="AK97" s="982"/>
      <c r="AL97" s="982"/>
      <c r="AM97" s="982"/>
      <c r="AN97" s="1881"/>
      <c r="BC97" s="2788" t="s">
        <v>197</v>
      </c>
    </row>
    <row r="98" spans="2:40" ht="3" customHeight="1">
      <c r="B98" s="1994"/>
      <c r="C98" s="1999"/>
      <c r="D98" s="2000"/>
      <c r="E98" s="949"/>
      <c r="F98" s="949"/>
      <c r="G98" s="949"/>
      <c r="H98" s="949"/>
      <c r="I98" s="949"/>
      <c r="J98" s="949"/>
      <c r="K98" s="949"/>
      <c r="L98" s="949"/>
      <c r="M98" s="949"/>
      <c r="N98" s="949"/>
      <c r="O98" s="950"/>
      <c r="P98" s="915"/>
      <c r="Q98" s="915"/>
      <c r="R98" s="915"/>
      <c r="S98" s="915"/>
      <c r="T98" s="915"/>
      <c r="U98" s="915"/>
      <c r="V98" s="915"/>
      <c r="W98" s="915"/>
      <c r="X98" s="915"/>
      <c r="Y98" s="915"/>
      <c r="Z98" s="951"/>
      <c r="AA98" s="915"/>
      <c r="AB98" s="915"/>
      <c r="AC98" s="923"/>
      <c r="AD98" s="952"/>
      <c r="AE98" s="915"/>
      <c r="AF98" s="915"/>
      <c r="AG98" s="912"/>
      <c r="AH98" s="915"/>
      <c r="AI98" s="912"/>
      <c r="AJ98" s="912"/>
      <c r="AK98" s="912"/>
      <c r="AL98" s="912"/>
      <c r="AM98" s="912"/>
      <c r="AN98" s="953"/>
    </row>
    <row r="99" spans="2:40" s="16" customFormat="1" ht="12" customHeight="1">
      <c r="B99" s="145" t="s">
        <v>65</v>
      </c>
      <c r="C99" s="145" t="s">
        <v>64</v>
      </c>
      <c r="D99" s="1862"/>
      <c r="E99" s="145" t="s">
        <v>66</v>
      </c>
      <c r="F99" s="1861"/>
      <c r="G99" s="1861"/>
      <c r="H99" s="1861"/>
      <c r="I99" s="1861"/>
      <c r="J99" s="1861"/>
      <c r="K99" s="1861"/>
      <c r="L99" s="1861"/>
      <c r="M99" s="1861"/>
      <c r="N99" s="1861"/>
      <c r="O99" s="1862"/>
      <c r="P99" s="145" t="s">
        <v>67</v>
      </c>
      <c r="Q99" s="1861"/>
      <c r="R99" s="1861"/>
      <c r="S99" s="1861"/>
      <c r="T99" s="1861"/>
      <c r="U99" s="1861"/>
      <c r="V99" s="1861"/>
      <c r="W99" s="1861"/>
      <c r="X99" s="1861"/>
      <c r="Y99" s="1862"/>
      <c r="Z99" s="145" t="s">
        <v>68</v>
      </c>
      <c r="AA99" s="1861"/>
      <c r="AB99" s="1861"/>
      <c r="AC99" s="1862"/>
      <c r="AD99" s="145" t="s">
        <v>100</v>
      </c>
      <c r="AE99" s="1861"/>
      <c r="AF99" s="1861"/>
      <c r="AG99" s="1861"/>
      <c r="AH99" s="1861"/>
      <c r="AI99" s="1861"/>
      <c r="AJ99" s="1861"/>
      <c r="AK99" s="1861"/>
      <c r="AL99" s="1861"/>
      <c r="AM99" s="1861"/>
      <c r="AN99" s="1862"/>
    </row>
    <row r="100" spans="2:40" ht="18" customHeight="1">
      <c r="B100" s="1304" t="s">
        <v>386</v>
      </c>
      <c r="C100" s="2048" t="str">
        <f ca="1">'Attachment JP'!B194</f>
        <v/>
      </c>
      <c r="D100" s="2049"/>
      <c r="E100" s="2051" t="str">
        <f ca="1">'Attachment JP'!D194</f>
        <v/>
      </c>
      <c r="F100" s="2051"/>
      <c r="G100" s="2051"/>
      <c r="H100" s="2051"/>
      <c r="I100" s="2051"/>
      <c r="J100" s="2051"/>
      <c r="K100" s="2051"/>
      <c r="L100" s="2051"/>
      <c r="M100" s="2051"/>
      <c r="N100" s="2051"/>
      <c r="O100" s="2052"/>
      <c r="P100" s="954"/>
      <c r="Q100" s="955"/>
      <c r="R100" s="955"/>
      <c r="S100" s="955"/>
      <c r="T100" s="955"/>
      <c r="U100" s="955"/>
      <c r="V100" s="955"/>
      <c r="W100" s="955"/>
      <c r="X100" s="955"/>
      <c r="Y100" s="955"/>
      <c r="Z100" s="2048" t="str">
        <f ca="1">'Attachment JP'!T194</f>
        <v/>
      </c>
      <c r="AA100" s="2059"/>
      <c r="AB100" s="2059"/>
      <c r="AC100" s="2049"/>
      <c r="AD100" s="2055" t="str">
        <f ca="1">'Attachment JP'!X194</f>
        <v/>
      </c>
      <c r="AE100" s="2056"/>
      <c r="AF100" s="2056"/>
      <c r="AG100" s="2056"/>
      <c r="AH100" s="2056"/>
      <c r="AI100" s="2056"/>
      <c r="AJ100" s="2056"/>
      <c r="AK100" s="2056"/>
      <c r="AL100" s="2056"/>
      <c r="AM100" s="2056"/>
      <c r="AN100" s="2057"/>
    </row>
    <row r="101" spans="2:42" ht="30.75" customHeight="1">
      <c r="B101" s="1294"/>
      <c r="C101" s="1308"/>
      <c r="D101" s="2050"/>
      <c r="E101" s="2053"/>
      <c r="F101" s="2053"/>
      <c r="G101" s="2053"/>
      <c r="H101" s="2053"/>
      <c r="I101" s="2053"/>
      <c r="J101" s="2053"/>
      <c r="K101" s="2053"/>
      <c r="L101" s="2053"/>
      <c r="M101" s="2053"/>
      <c r="N101" s="2053"/>
      <c r="O101" s="2054"/>
      <c r="P101" s="956"/>
      <c r="Q101" s="957"/>
      <c r="R101" s="957"/>
      <c r="S101" s="957"/>
      <c r="T101" s="957"/>
      <c r="U101" s="957"/>
      <c r="V101" s="957"/>
      <c r="W101" s="957"/>
      <c r="X101" s="957"/>
      <c r="Y101" s="957"/>
      <c r="Z101" s="1308"/>
      <c r="AA101" s="1005"/>
      <c r="AB101" s="1005"/>
      <c r="AC101" s="2050"/>
      <c r="AD101" s="1009"/>
      <c r="AE101" s="1010"/>
      <c r="AF101" s="1010"/>
      <c r="AG101" s="1010"/>
      <c r="AH101" s="1010"/>
      <c r="AI101" s="1010"/>
      <c r="AJ101" s="1010"/>
      <c r="AK101" s="1010"/>
      <c r="AL101" s="1010"/>
      <c r="AM101" s="1010"/>
      <c r="AN101" s="2058"/>
      <c r="AP101" s="1285" t="s">
        <v>1400</v>
      </c>
    </row>
    <row r="102" spans="2:40" ht="3" customHeight="1">
      <c r="B102" s="141"/>
      <c r="C102" s="956"/>
      <c r="D102" s="1372"/>
      <c r="E102" s="2053"/>
      <c r="F102" s="2053"/>
      <c r="G102" s="2053"/>
      <c r="H102" s="2053"/>
      <c r="I102" s="2053"/>
      <c r="J102" s="2053"/>
      <c r="K102" s="2053"/>
      <c r="L102" s="2053"/>
      <c r="M102" s="2053"/>
      <c r="N102" s="2053"/>
      <c r="O102" s="2054"/>
      <c r="P102" s="957"/>
      <c r="Q102" s="957"/>
      <c r="R102" s="957"/>
      <c r="S102" s="957"/>
      <c r="T102" s="957"/>
      <c r="U102" s="957"/>
      <c r="V102" s="957"/>
      <c r="W102" s="957"/>
      <c r="X102" s="957"/>
      <c r="Y102" s="957"/>
      <c r="Z102" s="956"/>
      <c r="AA102" s="957"/>
      <c r="AB102" s="1008"/>
      <c r="AC102" s="958"/>
      <c r="AD102" s="1009"/>
      <c r="AE102" s="1010"/>
      <c r="AF102" s="1010"/>
      <c r="AG102" s="959"/>
      <c r="AH102" s="959"/>
      <c r="AI102" s="959"/>
      <c r="AJ102" s="959"/>
      <c r="AK102" s="959"/>
      <c r="AL102" s="959"/>
      <c r="AM102" s="959"/>
      <c r="AN102" s="960"/>
    </row>
    <row r="103" spans="2:40" ht="15" customHeight="1">
      <c r="B103" s="1304" t="s">
        <v>387</v>
      </c>
      <c r="C103" s="1968" t="str">
        <f ca="1">'Attachment JP'!B195</f>
        <v/>
      </c>
      <c r="D103" s="2005"/>
      <c r="E103" s="2060" t="str">
        <f ca="1">'Attachment JP'!D195</f>
        <v/>
      </c>
      <c r="F103" s="2061"/>
      <c r="G103" s="2061"/>
      <c r="H103" s="2061"/>
      <c r="I103" s="2061"/>
      <c r="J103" s="2061"/>
      <c r="K103" s="2061"/>
      <c r="L103" s="2061"/>
      <c r="M103" s="2061"/>
      <c r="N103" s="2061"/>
      <c r="O103" s="2062"/>
      <c r="P103" s="1373"/>
      <c r="Q103" s="1374"/>
      <c r="R103" s="1374"/>
      <c r="S103" s="1374"/>
      <c r="T103" s="1374"/>
      <c r="U103" s="1374"/>
      <c r="V103" s="1374"/>
      <c r="W103" s="1374"/>
      <c r="X103" s="1374"/>
      <c r="Y103" s="1374"/>
      <c r="Z103" s="1968" t="str">
        <f ca="1">'Attachment JP'!T195</f>
        <v/>
      </c>
      <c r="AA103" s="1969"/>
      <c r="AB103" s="1969"/>
      <c r="AC103" s="2005"/>
      <c r="AD103" s="2064" t="str">
        <f ca="1">'Attachment JP'!X195</f>
        <v/>
      </c>
      <c r="AE103" s="2065"/>
      <c r="AF103" s="2065"/>
      <c r="AG103" s="2065"/>
      <c r="AH103" s="2065"/>
      <c r="AI103" s="2065"/>
      <c r="AJ103" s="2065"/>
      <c r="AK103" s="2065"/>
      <c r="AL103" s="2065"/>
      <c r="AM103" s="2065"/>
      <c r="AN103" s="2066"/>
    </row>
    <row r="104" spans="2:40" ht="12.75" customHeight="1">
      <c r="B104" s="1294"/>
      <c r="C104" s="1006"/>
      <c r="D104" s="2006"/>
      <c r="E104" s="2063"/>
      <c r="F104" s="1309"/>
      <c r="G104" s="1309"/>
      <c r="H104" s="1309"/>
      <c r="I104" s="1309"/>
      <c r="J104" s="1309"/>
      <c r="K104" s="1309"/>
      <c r="L104" s="1309"/>
      <c r="M104" s="1309"/>
      <c r="N104" s="1309"/>
      <c r="O104" s="1310"/>
      <c r="P104" s="961"/>
      <c r="Q104" s="945"/>
      <c r="R104" s="945"/>
      <c r="S104" s="945"/>
      <c r="T104" s="945"/>
      <c r="U104" s="945"/>
      <c r="V104" s="945"/>
      <c r="W104" s="945"/>
      <c r="X104" s="945"/>
      <c r="Y104" s="945"/>
      <c r="Z104" s="1006"/>
      <c r="AA104" s="1303"/>
      <c r="AB104" s="1303"/>
      <c r="AC104" s="2006"/>
      <c r="AD104" s="1009"/>
      <c r="AE104" s="1010"/>
      <c r="AF104" s="1010"/>
      <c r="AG104" s="1010"/>
      <c r="AH104" s="1010"/>
      <c r="AI104" s="1010"/>
      <c r="AJ104" s="1010"/>
      <c r="AK104" s="1010"/>
      <c r="AL104" s="1010"/>
      <c r="AM104" s="1010"/>
      <c r="AN104" s="2058"/>
    </row>
    <row r="105" spans="2:40" ht="3" customHeight="1">
      <c r="B105" s="141"/>
      <c r="C105" s="961"/>
      <c r="D105" s="924"/>
      <c r="E105" s="1309"/>
      <c r="F105" s="1309"/>
      <c r="G105" s="1309"/>
      <c r="H105" s="1309"/>
      <c r="I105" s="1309"/>
      <c r="J105" s="1309"/>
      <c r="K105" s="1309"/>
      <c r="L105" s="1309"/>
      <c r="M105" s="1309"/>
      <c r="N105" s="1309"/>
      <c r="O105" s="1310"/>
      <c r="P105" s="961"/>
      <c r="Q105" s="945"/>
      <c r="R105" s="945"/>
      <c r="S105" s="945"/>
      <c r="T105" s="945"/>
      <c r="U105" s="945"/>
      <c r="V105" s="945"/>
      <c r="W105" s="945"/>
      <c r="X105" s="945"/>
      <c r="Y105" s="945"/>
      <c r="Z105" s="961"/>
      <c r="AA105" s="945"/>
      <c r="AB105" s="1008"/>
      <c r="AC105" s="958"/>
      <c r="AD105" s="1009"/>
      <c r="AE105" s="1010"/>
      <c r="AF105" s="1010"/>
      <c r="AG105" s="1375"/>
      <c r="AH105" s="1375"/>
      <c r="AI105" s="1375"/>
      <c r="AJ105" s="1375"/>
      <c r="AK105" s="1375"/>
      <c r="AL105" s="1375"/>
      <c r="AM105" s="1375"/>
      <c r="AN105" s="1376"/>
    </row>
    <row r="106" spans="2:40" ht="15" customHeight="1">
      <c r="B106" s="1304" t="s">
        <v>388</v>
      </c>
      <c r="C106" s="1968" t="str">
        <f ca="1">'Attachment JP'!B196</f>
        <v/>
      </c>
      <c r="D106" s="2005"/>
      <c r="E106" s="2076" t="str">
        <f ca="1">'Attachment JP'!D196</f>
        <v/>
      </c>
      <c r="F106" s="2077"/>
      <c r="G106" s="2077"/>
      <c r="H106" s="2077"/>
      <c r="I106" s="2077"/>
      <c r="J106" s="2077"/>
      <c r="K106" s="2077"/>
      <c r="L106" s="2077"/>
      <c r="M106" s="2077"/>
      <c r="N106" s="2077"/>
      <c r="O106" s="2078"/>
      <c r="P106" s="1373"/>
      <c r="Q106" s="1374"/>
      <c r="R106" s="1374"/>
      <c r="S106" s="1374"/>
      <c r="T106" s="1374"/>
      <c r="U106" s="1374"/>
      <c r="V106" s="1374"/>
      <c r="W106" s="1374"/>
      <c r="X106" s="1374"/>
      <c r="Y106" s="1374"/>
      <c r="Z106" s="1968" t="str">
        <f ca="1">'Attachment JP'!T196</f>
        <v/>
      </c>
      <c r="AA106" s="1969"/>
      <c r="AB106" s="1969"/>
      <c r="AC106" s="2005"/>
      <c r="AD106" s="2064" t="str">
        <f ca="1">'Attachment JP'!X196</f>
        <v/>
      </c>
      <c r="AE106" s="2065"/>
      <c r="AF106" s="2065"/>
      <c r="AG106" s="2065"/>
      <c r="AH106" s="2065"/>
      <c r="AI106" s="2065"/>
      <c r="AJ106" s="2065"/>
      <c r="AK106" s="2065"/>
      <c r="AL106" s="2065"/>
      <c r="AM106" s="2065"/>
      <c r="AN106" s="2066"/>
    </row>
    <row r="107" spans="2:40" ht="20.25" customHeight="1">
      <c r="B107" s="1294"/>
      <c r="C107" s="1006"/>
      <c r="D107" s="2006"/>
      <c r="E107" s="2079"/>
      <c r="F107" s="2080"/>
      <c r="G107" s="2080"/>
      <c r="H107" s="2080"/>
      <c r="I107" s="2080"/>
      <c r="J107" s="2080"/>
      <c r="K107" s="2080"/>
      <c r="L107" s="2080"/>
      <c r="M107" s="2080"/>
      <c r="N107" s="2080"/>
      <c r="O107" s="2081"/>
      <c r="P107" s="961"/>
      <c r="Q107" s="945"/>
      <c r="R107" s="945"/>
      <c r="S107" s="945"/>
      <c r="T107" s="945"/>
      <c r="U107" s="945"/>
      <c r="V107" s="945"/>
      <c r="W107" s="945"/>
      <c r="X107" s="945"/>
      <c r="Y107" s="945"/>
      <c r="Z107" s="1006"/>
      <c r="AA107" s="1303"/>
      <c r="AB107" s="1303"/>
      <c r="AC107" s="2006"/>
      <c r="AD107" s="1009"/>
      <c r="AE107" s="1010"/>
      <c r="AF107" s="1010"/>
      <c r="AG107" s="1010"/>
      <c r="AH107" s="1010"/>
      <c r="AI107" s="1010"/>
      <c r="AJ107" s="1010"/>
      <c r="AK107" s="1010"/>
      <c r="AL107" s="1010"/>
      <c r="AM107" s="1010"/>
      <c r="AN107" s="2058"/>
    </row>
    <row r="108" spans="2:40" ht="3" customHeight="1">
      <c r="B108" s="141"/>
      <c r="C108" s="952"/>
      <c r="D108" s="953"/>
      <c r="E108" s="983"/>
      <c r="F108" s="983"/>
      <c r="G108" s="983"/>
      <c r="H108" s="983"/>
      <c r="I108" s="983"/>
      <c r="J108" s="983"/>
      <c r="K108" s="983"/>
      <c r="L108" s="983"/>
      <c r="M108" s="983"/>
      <c r="N108" s="983"/>
      <c r="O108" s="1377"/>
      <c r="P108" s="961"/>
      <c r="Q108" s="945"/>
      <c r="R108" s="945"/>
      <c r="S108" s="945"/>
      <c r="T108" s="945"/>
      <c r="U108" s="945"/>
      <c r="V108" s="945"/>
      <c r="W108" s="945"/>
      <c r="X108" s="945"/>
      <c r="Y108" s="945"/>
      <c r="Z108" s="961"/>
      <c r="AA108" s="945"/>
      <c r="AB108" s="962"/>
      <c r="AC108" s="963"/>
      <c r="AD108" s="964"/>
      <c r="AE108" s="965"/>
      <c r="AF108" s="965"/>
      <c r="AG108" s="1011"/>
      <c r="AH108" s="1011"/>
      <c r="AI108" s="1011"/>
      <c r="AJ108" s="1011"/>
      <c r="AK108" s="1011"/>
      <c r="AL108" s="1011"/>
      <c r="AM108" s="1011"/>
      <c r="AN108" s="1012"/>
    </row>
    <row r="109" spans="2:40" ht="15" customHeight="1">
      <c r="B109" s="1304" t="s">
        <v>389</v>
      </c>
      <c r="C109" s="1968" t="str">
        <f ca="1">'Attachment JP'!B197</f>
        <v/>
      </c>
      <c r="D109" s="2005"/>
      <c r="E109" s="2060" t="str">
        <f ca="1">'Attachment JP'!D197</f>
        <v/>
      </c>
      <c r="F109" s="2061"/>
      <c r="G109" s="2061"/>
      <c r="H109" s="2061"/>
      <c r="I109" s="2061"/>
      <c r="J109" s="2061"/>
      <c r="K109" s="2061"/>
      <c r="L109" s="2061"/>
      <c r="M109" s="2061"/>
      <c r="N109" s="2061"/>
      <c r="O109" s="2062"/>
      <c r="P109" s="1373"/>
      <c r="Q109" s="1374"/>
      <c r="R109" s="1374"/>
      <c r="S109" s="1374"/>
      <c r="T109" s="1374"/>
      <c r="U109" s="1374"/>
      <c r="V109" s="1374"/>
      <c r="W109" s="1374"/>
      <c r="X109" s="1374"/>
      <c r="Y109" s="1374"/>
      <c r="Z109" s="1968" t="str">
        <f ca="1">'Attachment JP'!T197</f>
        <v/>
      </c>
      <c r="AA109" s="1969"/>
      <c r="AB109" s="1969"/>
      <c r="AC109" s="2005"/>
      <c r="AD109" s="2064" t="str">
        <f ca="1">'Attachment JP'!X197</f>
        <v/>
      </c>
      <c r="AE109" s="2065"/>
      <c r="AF109" s="2065"/>
      <c r="AG109" s="2065"/>
      <c r="AH109" s="2065"/>
      <c r="AI109" s="2065"/>
      <c r="AJ109" s="2065"/>
      <c r="AK109" s="2065"/>
      <c r="AL109" s="2065"/>
      <c r="AM109" s="2065"/>
      <c r="AN109" s="2066"/>
    </row>
    <row r="110" spans="2:40" ht="12.75" customHeight="1">
      <c r="B110" s="1294"/>
      <c r="C110" s="1006"/>
      <c r="D110" s="2006"/>
      <c r="E110" s="2063"/>
      <c r="F110" s="1309"/>
      <c r="G110" s="1309"/>
      <c r="H110" s="1309"/>
      <c r="I110" s="1309"/>
      <c r="J110" s="1309"/>
      <c r="K110" s="1309"/>
      <c r="L110" s="1309"/>
      <c r="M110" s="1309"/>
      <c r="N110" s="1309"/>
      <c r="O110" s="1310"/>
      <c r="P110" s="961"/>
      <c r="Q110" s="945"/>
      <c r="R110" s="945"/>
      <c r="S110" s="945"/>
      <c r="T110" s="945"/>
      <c r="U110" s="945"/>
      <c r="V110" s="945"/>
      <c r="W110" s="945"/>
      <c r="X110" s="945"/>
      <c r="Y110" s="945"/>
      <c r="Z110" s="1006"/>
      <c r="AA110" s="1303"/>
      <c r="AB110" s="1303"/>
      <c r="AC110" s="2006"/>
      <c r="AD110" s="1009"/>
      <c r="AE110" s="1010"/>
      <c r="AF110" s="1010"/>
      <c r="AG110" s="1010"/>
      <c r="AH110" s="1010"/>
      <c r="AI110" s="1010"/>
      <c r="AJ110" s="1010"/>
      <c r="AK110" s="1010"/>
      <c r="AL110" s="1010"/>
      <c r="AM110" s="1010"/>
      <c r="AN110" s="2058"/>
    </row>
    <row r="111" spans="2:40" ht="3" customHeight="1">
      <c r="B111" s="141"/>
      <c r="C111" s="966"/>
      <c r="D111" s="967"/>
      <c r="E111" s="1226"/>
      <c r="F111" s="1226"/>
      <c r="G111" s="1226"/>
      <c r="H111" s="1226"/>
      <c r="I111" s="1226"/>
      <c r="J111" s="1226"/>
      <c r="K111" s="1226"/>
      <c r="L111" s="1226"/>
      <c r="M111" s="1226"/>
      <c r="N111" s="1226"/>
      <c r="O111" s="1227"/>
      <c r="P111" s="961"/>
      <c r="Q111" s="945"/>
      <c r="R111" s="945"/>
      <c r="S111" s="945"/>
      <c r="T111" s="945"/>
      <c r="U111" s="945"/>
      <c r="V111" s="945"/>
      <c r="W111" s="945"/>
      <c r="X111" s="945"/>
      <c r="Y111" s="945"/>
      <c r="Z111" s="961"/>
      <c r="AA111" s="945"/>
      <c r="AB111" s="962"/>
      <c r="AC111" s="963"/>
      <c r="AD111" s="1378"/>
      <c r="AE111" s="962"/>
      <c r="AF111" s="962"/>
      <c r="AG111" s="1011"/>
      <c r="AH111" s="1011"/>
      <c r="AI111" s="1011"/>
      <c r="AJ111" s="1011"/>
      <c r="AK111" s="1011"/>
      <c r="AL111" s="1011"/>
      <c r="AM111" s="1011"/>
      <c r="AN111" s="1012"/>
    </row>
    <row r="112" spans="2:40" ht="15" customHeight="1">
      <c r="B112" s="1304" t="s">
        <v>390</v>
      </c>
      <c r="C112" s="1379"/>
      <c r="D112" s="1380"/>
      <c r="E112" s="1381"/>
      <c r="F112" s="1381"/>
      <c r="G112" s="1381"/>
      <c r="H112" s="1381"/>
      <c r="I112" s="1381"/>
      <c r="J112" s="1381"/>
      <c r="K112" s="1381"/>
      <c r="L112" s="1381"/>
      <c r="M112" s="1381"/>
      <c r="N112" s="1381"/>
      <c r="O112" s="1382"/>
      <c r="P112" s="1373"/>
      <c r="Q112" s="1374"/>
      <c r="R112" s="1374"/>
      <c r="S112" s="1374"/>
      <c r="T112" s="1374"/>
      <c r="U112" s="1374"/>
      <c r="V112" s="1374"/>
      <c r="W112" s="1374"/>
      <c r="X112" s="1374"/>
      <c r="Y112" s="1374"/>
      <c r="Z112" s="1968"/>
      <c r="AA112" s="1969"/>
      <c r="AB112" s="1969"/>
      <c r="AC112" s="2005"/>
      <c r="AD112" s="1383"/>
      <c r="AE112" s="1384"/>
      <c r="AF112" s="1384"/>
      <c r="AG112" s="2067"/>
      <c r="AH112" s="2067"/>
      <c r="AI112" s="2067"/>
      <c r="AJ112" s="2067"/>
      <c r="AK112" s="2067"/>
      <c r="AL112" s="2067"/>
      <c r="AM112" s="2067"/>
      <c r="AN112" s="2068"/>
    </row>
    <row r="113" spans="2:40" ht="13.5" customHeight="1">
      <c r="B113" s="371" t="s">
        <v>729</v>
      </c>
      <c r="C113" s="966"/>
      <c r="D113" s="967"/>
      <c r="E113" s="1226"/>
      <c r="F113" s="1226"/>
      <c r="G113" s="1226"/>
      <c r="H113" s="1226"/>
      <c r="I113" s="1226"/>
      <c r="J113" s="1226"/>
      <c r="K113" s="1226"/>
      <c r="L113" s="1226"/>
      <c r="M113" s="1226"/>
      <c r="N113" s="1226"/>
      <c r="O113" s="1227"/>
      <c r="P113" s="961"/>
      <c r="Q113" s="945"/>
      <c r="R113" s="945"/>
      <c r="S113" s="945"/>
      <c r="T113" s="945"/>
      <c r="U113" s="945"/>
      <c r="V113" s="945"/>
      <c r="W113" s="945"/>
      <c r="X113" s="945"/>
      <c r="Y113" s="945"/>
      <c r="Z113" s="1006"/>
      <c r="AA113" s="1303"/>
      <c r="AB113" s="1303"/>
      <c r="AC113" s="2006"/>
      <c r="AD113" s="1007"/>
      <c r="AE113" s="1008"/>
      <c r="AF113" s="1008"/>
      <c r="AG113" s="1011"/>
      <c r="AH113" s="1011"/>
      <c r="AI113" s="1011"/>
      <c r="AJ113" s="1011"/>
      <c r="AK113" s="1011"/>
      <c r="AL113" s="1011"/>
      <c r="AM113" s="1011"/>
      <c r="AN113" s="1012"/>
    </row>
    <row r="114" spans="2:40" ht="3" customHeight="1">
      <c r="B114" s="757"/>
      <c r="C114" s="592"/>
      <c r="D114" s="594"/>
      <c r="E114" s="593"/>
      <c r="F114" s="593"/>
      <c r="G114" s="593"/>
      <c r="H114" s="593"/>
      <c r="I114" s="593"/>
      <c r="J114" s="593"/>
      <c r="K114" s="593"/>
      <c r="L114" s="593"/>
      <c r="M114" s="593"/>
      <c r="N114" s="593"/>
      <c r="O114" s="594"/>
      <c r="P114" s="635"/>
      <c r="Q114" s="636"/>
      <c r="R114" s="636"/>
      <c r="S114" s="636"/>
      <c r="T114" s="636"/>
      <c r="U114" s="636"/>
      <c r="V114" s="636"/>
      <c r="W114" s="636"/>
      <c r="X114" s="636"/>
      <c r="Y114" s="636"/>
      <c r="Z114" s="635"/>
      <c r="AA114" s="636"/>
      <c r="AB114" s="285"/>
      <c r="AC114" s="286"/>
      <c r="AD114" s="284"/>
      <c r="AE114" s="285"/>
      <c r="AF114" s="285"/>
      <c r="AG114" s="761"/>
      <c r="AH114" s="761"/>
      <c r="AI114" s="761"/>
      <c r="AJ114" s="761"/>
      <c r="AK114" s="761"/>
      <c r="AL114" s="761"/>
      <c r="AM114" s="761"/>
      <c r="AN114" s="762"/>
    </row>
    <row r="115" spans="2:40" ht="15" customHeight="1">
      <c r="B115" s="146"/>
      <c r="C115" s="1311" t="s">
        <v>730</v>
      </c>
      <c r="D115" s="2069"/>
      <c r="E115" s="2069"/>
      <c r="F115" s="2069"/>
      <c r="G115" s="2069"/>
      <c r="H115" s="2069"/>
      <c r="I115" s="2069"/>
      <c r="J115" s="2069"/>
      <c r="K115" s="2069"/>
      <c r="L115" s="2069"/>
      <c r="M115" s="2069"/>
      <c r="N115" s="2069"/>
      <c r="O115" s="2069"/>
      <c r="P115" s="2069"/>
      <c r="Q115" s="2069"/>
      <c r="R115" s="2069"/>
      <c r="S115" s="2069"/>
      <c r="T115" s="2069"/>
      <c r="U115" s="2069"/>
      <c r="V115" s="2069"/>
      <c r="W115" s="2069"/>
      <c r="X115" s="2069"/>
      <c r="Y115" s="2070"/>
      <c r="Z115" s="190"/>
      <c r="AA115" s="183"/>
      <c r="AB115" s="624" t="s">
        <v>731</v>
      </c>
      <c r="AC115" s="625"/>
      <c r="AD115" s="2064">
        <f ca="1">SUM(AD100:AN110)</f>
        <v>0</v>
      </c>
      <c r="AE115" s="2065"/>
      <c r="AF115" s="2065"/>
      <c r="AG115" s="2065"/>
      <c r="AH115" s="2065"/>
      <c r="AI115" s="2065"/>
      <c r="AJ115" s="2065"/>
      <c r="AK115" s="2065"/>
      <c r="AL115" s="2065"/>
      <c r="AM115" s="2065"/>
      <c r="AN115" s="253"/>
    </row>
    <row r="116" spans="2:40" ht="3.75" customHeight="1">
      <c r="B116" s="153"/>
      <c r="C116" s="328"/>
      <c r="D116" s="2071"/>
      <c r="E116" s="2071"/>
      <c r="F116" s="2071"/>
      <c r="G116" s="2071"/>
      <c r="H116" s="2071"/>
      <c r="I116" s="2071"/>
      <c r="J116" s="2071"/>
      <c r="K116" s="2071"/>
      <c r="L116" s="2071"/>
      <c r="M116" s="2071"/>
      <c r="N116" s="2071"/>
      <c r="O116" s="2071"/>
      <c r="P116" s="2071"/>
      <c r="Q116" s="2071"/>
      <c r="R116" s="2071"/>
      <c r="S116" s="2071"/>
      <c r="T116" s="2071"/>
      <c r="U116" s="2071"/>
      <c r="V116" s="2071"/>
      <c r="W116" s="2071"/>
      <c r="X116" s="2071"/>
      <c r="Y116" s="2072"/>
      <c r="Z116" s="188"/>
      <c r="AA116" s="97"/>
      <c r="AB116" s="66"/>
      <c r="AC116" s="151"/>
      <c r="AD116" s="1009"/>
      <c r="AE116" s="1010"/>
      <c r="AF116" s="1010"/>
      <c r="AG116" s="1010"/>
      <c r="AH116" s="1010"/>
      <c r="AI116" s="1010"/>
      <c r="AJ116" s="1010"/>
      <c r="AK116" s="1010"/>
      <c r="AL116" s="1010"/>
      <c r="AM116" s="1010"/>
      <c r="AN116" s="254"/>
    </row>
    <row r="117" spans="2:40" ht="3" customHeight="1">
      <c r="B117" s="177"/>
      <c r="C117" s="2073"/>
      <c r="D117" s="2074"/>
      <c r="E117" s="2074"/>
      <c r="F117" s="2074"/>
      <c r="G117" s="2074"/>
      <c r="H117" s="2074"/>
      <c r="I117" s="2074"/>
      <c r="J117" s="2074"/>
      <c r="K117" s="2074"/>
      <c r="L117" s="2074"/>
      <c r="M117" s="2074"/>
      <c r="N117" s="2074"/>
      <c r="O117" s="2074"/>
      <c r="P117" s="2074"/>
      <c r="Q117" s="2074"/>
      <c r="R117" s="2074"/>
      <c r="S117" s="2074"/>
      <c r="T117" s="2074"/>
      <c r="U117" s="2074"/>
      <c r="V117" s="2074"/>
      <c r="W117" s="2074"/>
      <c r="X117" s="2074"/>
      <c r="Y117" s="2075"/>
      <c r="Z117" s="189"/>
      <c r="AA117" s="186"/>
      <c r="AB117" s="152"/>
      <c r="AC117" s="588"/>
      <c r="AD117" s="633"/>
      <c r="AE117" s="152"/>
      <c r="AF117" s="152"/>
      <c r="AG117" s="152"/>
      <c r="AH117" s="187"/>
      <c r="AI117" s="172"/>
      <c r="AJ117" s="43"/>
      <c r="AK117" s="172"/>
      <c r="AL117" s="172"/>
      <c r="AM117" s="172"/>
      <c r="AN117" s="173"/>
    </row>
    <row r="118" spans="2:40" ht="6.75" customHeight="1">
      <c r="B118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11"/>
      <c r="AC118" s="11"/>
      <c r="AD118" s="11"/>
      <c r="AE118" s="67"/>
      <c r="AF118" s="67"/>
      <c r="AG118" s="66"/>
      <c r="AH118"/>
      <c r="AI118"/>
      <c r="AJ118" s="4"/>
      <c r="AK118"/>
      <c r="AL118"/>
      <c r="AM118"/>
      <c r="AN118"/>
    </row>
    <row r="119" spans="2:40" ht="3" customHeight="1">
      <c r="B119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11"/>
      <c r="AC119" s="11"/>
      <c r="AD119" s="11"/>
      <c r="AE119" s="67"/>
      <c r="AF119" s="67"/>
      <c r="AG119" s="66"/>
      <c r="AH119"/>
      <c r="AI119"/>
      <c r="AJ119" s="4"/>
      <c r="AK119"/>
      <c r="AL119"/>
      <c r="AM119"/>
      <c r="AN119"/>
    </row>
    <row r="120" spans="1:40" ht="13.5" customHeight="1">
      <c r="A120" s="907"/>
      <c r="B120" s="946" t="s">
        <v>763</v>
      </c>
      <c r="C120" s="907"/>
      <c r="D120" s="946"/>
      <c r="E120" s="915"/>
      <c r="F120" s="946" t="s">
        <v>26</v>
      </c>
      <c r="G120" s="947" t="s">
        <v>764</v>
      </c>
      <c r="H120" s="915"/>
      <c r="I120" s="946"/>
      <c r="J120" s="72"/>
      <c r="K120" s="72"/>
      <c r="L120" s="79"/>
      <c r="M120" s="4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7"/>
      <c r="AC120" s="11"/>
      <c r="AD120" s="4"/>
      <c r="AE120" s="4"/>
      <c r="AF120" s="4"/>
      <c r="AG120" s="4"/>
      <c r="AH120" s="4"/>
      <c r="AI120" s="4"/>
      <c r="AJ120"/>
      <c r="AK120"/>
      <c r="AL120"/>
      <c r="AM120"/>
      <c r="AN120"/>
    </row>
    <row r="121" spans="2:40" ht="3" customHeight="1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4"/>
      <c r="AE121" s="4"/>
      <c r="AF121" s="4"/>
      <c r="AG121" s="4"/>
      <c r="AH121" s="4"/>
      <c r="AI121" s="4"/>
      <c r="AJ121"/>
      <c r="AK121"/>
      <c r="AL121"/>
      <c r="AM121"/>
      <c r="AN121"/>
    </row>
    <row r="122" spans="2:40" ht="3" customHeight="1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4"/>
      <c r="AE122" s="4"/>
      <c r="AF122" s="4"/>
      <c r="AG122" s="4"/>
      <c r="AH122" s="4"/>
      <c r="AI122" s="4"/>
      <c r="AJ122"/>
      <c r="AK122"/>
      <c r="AL122"/>
      <c r="AM122"/>
      <c r="AN122"/>
    </row>
    <row r="123" spans="2:40" ht="26.5" customHeight="1">
      <c r="B123" s="1992" t="s">
        <v>702</v>
      </c>
      <c r="C123" s="1879" t="s">
        <v>629</v>
      </c>
      <c r="D123" s="1292"/>
      <c r="E123" s="1292"/>
      <c r="F123" s="1292"/>
      <c r="G123" s="1292"/>
      <c r="H123" s="1292"/>
      <c r="I123" s="1292"/>
      <c r="J123" s="1292"/>
      <c r="K123" s="1292"/>
      <c r="L123" s="1292"/>
      <c r="M123" s="1292"/>
      <c r="N123" s="1292"/>
      <c r="O123" s="1880"/>
      <c r="P123" s="2082" t="s">
        <v>979</v>
      </c>
      <c r="Q123" s="2083"/>
      <c r="R123" s="2083"/>
      <c r="S123" s="2083"/>
      <c r="T123" s="2083"/>
      <c r="U123" s="2083"/>
      <c r="V123" s="2083"/>
      <c r="W123" s="2084"/>
      <c r="X123" s="1879" t="s">
        <v>765</v>
      </c>
      <c r="Y123" s="1292"/>
      <c r="Z123" s="1292"/>
      <c r="AA123" s="1292"/>
      <c r="AB123" s="1292"/>
      <c r="AC123" s="1292"/>
      <c r="AD123" s="1292"/>
      <c r="AE123" s="1292"/>
      <c r="AF123" s="1880"/>
      <c r="AG123" s="1879" t="s">
        <v>766</v>
      </c>
      <c r="AH123" s="1292"/>
      <c r="AI123" s="1292"/>
      <c r="AJ123" s="1292"/>
      <c r="AK123" s="1292"/>
      <c r="AL123" s="1292"/>
      <c r="AM123" s="1292"/>
      <c r="AN123" s="1880"/>
    </row>
    <row r="124" spans="2:40" ht="26.5" customHeight="1">
      <c r="B124" s="1993"/>
      <c r="C124" s="1004"/>
      <c r="D124" s="982"/>
      <c r="E124" s="982"/>
      <c r="F124" s="982"/>
      <c r="G124" s="982"/>
      <c r="H124" s="982"/>
      <c r="I124" s="982"/>
      <c r="J124" s="982"/>
      <c r="K124" s="982"/>
      <c r="L124" s="982"/>
      <c r="M124" s="982"/>
      <c r="N124" s="982"/>
      <c r="O124" s="1881"/>
      <c r="P124" s="2085"/>
      <c r="Q124" s="2086"/>
      <c r="R124" s="2086"/>
      <c r="S124" s="2086"/>
      <c r="T124" s="2086"/>
      <c r="U124" s="2086"/>
      <c r="V124" s="2086"/>
      <c r="W124" s="2087"/>
      <c r="X124" s="1004"/>
      <c r="Y124" s="982"/>
      <c r="Z124" s="982"/>
      <c r="AA124" s="982"/>
      <c r="AB124" s="982"/>
      <c r="AC124" s="982"/>
      <c r="AD124" s="982"/>
      <c r="AE124" s="982"/>
      <c r="AF124" s="1881"/>
      <c r="AG124" s="1004"/>
      <c r="AH124" s="982"/>
      <c r="AI124" s="982"/>
      <c r="AJ124" s="982"/>
      <c r="AK124" s="982"/>
      <c r="AL124" s="982"/>
      <c r="AM124" s="982"/>
      <c r="AN124" s="1881"/>
    </row>
    <row r="125" spans="2:40" ht="3" customHeight="1">
      <c r="B125" s="1994"/>
      <c r="C125" s="1897"/>
      <c r="D125" s="1898"/>
      <c r="E125" s="1898"/>
      <c r="F125" s="1898"/>
      <c r="G125" s="1898"/>
      <c r="H125" s="1898"/>
      <c r="I125" s="1898"/>
      <c r="J125" s="1898"/>
      <c r="K125" s="1898"/>
      <c r="L125" s="1898"/>
      <c r="M125" s="1898"/>
      <c r="N125" s="1898"/>
      <c r="O125" s="1899"/>
      <c r="P125" s="2088"/>
      <c r="Q125" s="2089"/>
      <c r="R125" s="2089"/>
      <c r="S125" s="2089"/>
      <c r="T125" s="2089"/>
      <c r="U125" s="2089"/>
      <c r="V125" s="2089"/>
      <c r="W125" s="2090"/>
      <c r="X125" s="1897"/>
      <c r="Y125" s="1898"/>
      <c r="Z125" s="1898"/>
      <c r="AA125" s="1898"/>
      <c r="AB125" s="1898"/>
      <c r="AC125" s="1898"/>
      <c r="AD125" s="1898"/>
      <c r="AE125" s="1898"/>
      <c r="AF125" s="1899"/>
      <c r="AG125" s="1897"/>
      <c r="AH125" s="1898"/>
      <c r="AI125" s="1898"/>
      <c r="AJ125" s="1898"/>
      <c r="AK125" s="1898"/>
      <c r="AL125" s="1898"/>
      <c r="AM125" s="1898"/>
      <c r="AN125" s="1899"/>
    </row>
    <row r="126" spans="2:40" s="16" customFormat="1" ht="15" customHeight="1">
      <c r="B126" s="145" t="s">
        <v>65</v>
      </c>
      <c r="C126" s="145" t="s">
        <v>64</v>
      </c>
      <c r="D126" s="1861"/>
      <c r="E126" s="1861"/>
      <c r="F126" s="1861"/>
      <c r="G126" s="1861"/>
      <c r="H126" s="1861"/>
      <c r="I126" s="1861"/>
      <c r="J126" s="1861"/>
      <c r="K126" s="1861"/>
      <c r="L126" s="1861"/>
      <c r="M126" s="1861"/>
      <c r="N126" s="1861"/>
      <c r="O126" s="1862"/>
      <c r="P126" s="145" t="s">
        <v>66</v>
      </c>
      <c r="Q126" s="1861"/>
      <c r="R126" s="1861"/>
      <c r="S126" s="1861"/>
      <c r="T126" s="1861"/>
      <c r="U126" s="1861"/>
      <c r="V126" s="1861"/>
      <c r="W126" s="1862"/>
      <c r="X126" s="145" t="s">
        <v>67</v>
      </c>
      <c r="Y126" s="1861"/>
      <c r="Z126" s="1861"/>
      <c r="AA126" s="1861"/>
      <c r="AB126" s="1861"/>
      <c r="AC126" s="1861"/>
      <c r="AD126" s="1861"/>
      <c r="AE126" s="1861"/>
      <c r="AF126" s="1862"/>
      <c r="AG126" s="1861" t="s">
        <v>68</v>
      </c>
      <c r="AH126" s="1861"/>
      <c r="AI126" s="1861"/>
      <c r="AJ126" s="1861"/>
      <c r="AK126" s="1861"/>
      <c r="AL126" s="1861"/>
      <c r="AM126" s="1861"/>
      <c r="AN126" s="1862"/>
    </row>
    <row r="127" spans="2:40" ht="15" customHeight="1">
      <c r="B127" s="1304" t="s">
        <v>386</v>
      </c>
      <c r="C127" s="2060" t="str">
        <f>IF('GENERAL INFO'!C71="","-",'GENERAL INFO'!C71)</f>
        <v>-</v>
      </c>
      <c r="D127" s="2061"/>
      <c r="E127" s="2061"/>
      <c r="F127" s="2061"/>
      <c r="G127" s="2061"/>
      <c r="H127" s="2061"/>
      <c r="I127" s="2061"/>
      <c r="J127" s="2061"/>
      <c r="K127" s="2061"/>
      <c r="L127" s="2061"/>
      <c r="M127" s="2061"/>
      <c r="N127" s="2061"/>
      <c r="O127" s="2062"/>
      <c r="P127" s="2048" t="str">
        <f>IF('GENERAL INFO'!J71="","-",'GENERAL INFO'!J71)</f>
        <v>-</v>
      </c>
      <c r="Q127" s="2059"/>
      <c r="R127" s="2059"/>
      <c r="S127" s="2059"/>
      <c r="T127" s="2059"/>
      <c r="U127" s="2059"/>
      <c r="V127" s="2059"/>
      <c r="W127" s="2049"/>
      <c r="X127" s="2091" t="str">
        <f>IF('GENERAL INFO'!E71="","-",IF('GENERAL INFO'!E71="Wife","妻/ Wife",IF('GENERAL INFO'!E71="Child","子/ Child",IF('GENERAL INFO'!E71="Brother/sister","兄弟／姉妹/ Brother/Sister",IF('GENERAL INFO'!E71="Husband","夫/ Husband","その他/ Other")))))</f>
        <v>-</v>
      </c>
      <c r="Y127" s="2092"/>
      <c r="Z127" s="2092"/>
      <c r="AA127" s="2092"/>
      <c r="AB127" s="2092"/>
      <c r="AC127" s="2092"/>
      <c r="AD127" s="2092"/>
      <c r="AE127" s="2092"/>
      <c r="AF127" s="2093"/>
      <c r="AG127" s="2100" t="str">
        <f>IF('GENERAL INFO'!N71="","-",IF('GENERAL INFO'!N71="Housewife","主婦/ Housewife",IF('GENERAL INFO'!N71="Employee","従業員/ Employee",IF('GENERAL INFO'!N71="Student","学生/Student","-"))))</f>
        <v>-</v>
      </c>
      <c r="AH127" s="2101"/>
      <c r="AI127" s="2101"/>
      <c r="AJ127" s="2101"/>
      <c r="AK127" s="2101"/>
      <c r="AL127" s="2101"/>
      <c r="AM127" s="2101"/>
      <c r="AN127" s="253"/>
    </row>
    <row r="128" spans="2:40" ht="6" customHeight="1">
      <c r="B128" s="1294"/>
      <c r="C128" s="2063"/>
      <c r="D128" s="1309"/>
      <c r="E128" s="1309"/>
      <c r="F128" s="1309"/>
      <c r="G128" s="1309"/>
      <c r="H128" s="1309"/>
      <c r="I128" s="1309"/>
      <c r="J128" s="1309"/>
      <c r="K128" s="1309"/>
      <c r="L128" s="1309"/>
      <c r="M128" s="1309"/>
      <c r="N128" s="1309"/>
      <c r="O128" s="1310"/>
      <c r="P128" s="1308"/>
      <c r="Q128" s="1005"/>
      <c r="R128" s="1005"/>
      <c r="S128" s="1005"/>
      <c r="T128" s="1005"/>
      <c r="U128" s="1005"/>
      <c r="V128" s="1005"/>
      <c r="W128" s="2050"/>
      <c r="X128" s="2094"/>
      <c r="Y128" s="2095"/>
      <c r="Z128" s="2095"/>
      <c r="AA128" s="2095"/>
      <c r="AB128" s="2095"/>
      <c r="AC128" s="2095"/>
      <c r="AD128" s="2095"/>
      <c r="AE128" s="2095"/>
      <c r="AF128" s="2096"/>
      <c r="AG128" s="2102"/>
      <c r="AH128" s="2103"/>
      <c r="AI128" s="2103"/>
      <c r="AJ128" s="2103"/>
      <c r="AK128" s="2103"/>
      <c r="AL128" s="2103"/>
      <c r="AM128" s="2103"/>
      <c r="AN128" s="254"/>
    </row>
    <row r="129" spans="2:40" ht="3" customHeight="1">
      <c r="B129" s="141"/>
      <c r="C129" s="2063"/>
      <c r="D129" s="1309"/>
      <c r="E129" s="1309"/>
      <c r="F129" s="1309"/>
      <c r="G129" s="1309"/>
      <c r="H129" s="1309"/>
      <c r="I129" s="1309"/>
      <c r="J129" s="1309"/>
      <c r="K129" s="1309"/>
      <c r="L129" s="1309"/>
      <c r="M129" s="1309"/>
      <c r="N129" s="1309"/>
      <c r="O129" s="1310"/>
      <c r="P129" s="1308"/>
      <c r="Q129" s="1005"/>
      <c r="R129" s="1005"/>
      <c r="S129" s="1005"/>
      <c r="T129" s="1005"/>
      <c r="U129" s="1005"/>
      <c r="V129" s="1005"/>
      <c r="W129" s="2050"/>
      <c r="X129" s="2097"/>
      <c r="Y129" s="2098"/>
      <c r="Z129" s="2098"/>
      <c r="AA129" s="2098"/>
      <c r="AB129" s="2098"/>
      <c r="AC129" s="2098"/>
      <c r="AD129" s="2098"/>
      <c r="AE129" s="2098"/>
      <c r="AF129" s="2099"/>
      <c r="AG129" s="1005"/>
      <c r="AH129" s="1005"/>
      <c r="AI129" s="1005"/>
      <c r="AJ129" s="1005"/>
      <c r="AK129" s="1005"/>
      <c r="AL129" s="1005"/>
      <c r="AM129" s="1005"/>
      <c r="AN129" s="283"/>
    </row>
    <row r="130" spans="2:40" ht="15" customHeight="1">
      <c r="B130" s="1304" t="s">
        <v>387</v>
      </c>
      <c r="C130" s="2060" t="str">
        <f>IF('GENERAL INFO'!C72="","-",'GENERAL INFO'!C72)</f>
        <v>-</v>
      </c>
      <c r="D130" s="2061"/>
      <c r="E130" s="2061"/>
      <c r="F130" s="2061"/>
      <c r="G130" s="2061"/>
      <c r="H130" s="2061"/>
      <c r="I130" s="2061"/>
      <c r="J130" s="2061"/>
      <c r="K130" s="2061"/>
      <c r="L130" s="2061"/>
      <c r="M130" s="2061"/>
      <c r="N130" s="2061"/>
      <c r="O130" s="2062"/>
      <c r="P130" s="2048" t="str">
        <f>IF('GENERAL INFO'!J72="","-",'GENERAL INFO'!J72)</f>
        <v>-</v>
      </c>
      <c r="Q130" s="2059"/>
      <c r="R130" s="2059"/>
      <c r="S130" s="2059"/>
      <c r="T130" s="2059"/>
      <c r="U130" s="2059"/>
      <c r="V130" s="2059"/>
      <c r="W130" s="2049"/>
      <c r="X130" s="2091" t="str">
        <f>IF('GENERAL INFO'!E72="","-",IF('GENERAL INFO'!E72="Wife","妻/ Wife",IF('GENERAL INFO'!E72="Child","子/ Child",IF('GENERAL INFO'!E72="Brother/sister","兄弟／姉妹/ Brother/Sister",IF('GENERAL INFO'!E72="Husband","夫/ Husband","その他/ Other")))))</f>
        <v>-</v>
      </c>
      <c r="Y130" s="2092"/>
      <c r="Z130" s="2092"/>
      <c r="AA130" s="2092"/>
      <c r="AB130" s="2092"/>
      <c r="AC130" s="2092"/>
      <c r="AD130" s="2092"/>
      <c r="AE130" s="2092"/>
      <c r="AF130" s="2093"/>
      <c r="AG130" s="1968" t="str">
        <f>IF('GENERAL INFO'!N72="","-",IF('GENERAL INFO'!N72="Housewife","主婦/ Housewife",IF('GENERAL INFO'!N72="Employee","従業員/ Employee",IF('GENERAL INFO'!N72="Student","学生/Student","-"))))</f>
        <v>-</v>
      </c>
      <c r="AH130" s="1969"/>
      <c r="AI130" s="1969"/>
      <c r="AJ130" s="1969"/>
      <c r="AK130" s="1969"/>
      <c r="AL130" s="1969"/>
      <c r="AM130" s="1969"/>
      <c r="AN130" s="1385"/>
    </row>
    <row r="131" spans="2:40" ht="6" customHeight="1">
      <c r="B131" s="1294"/>
      <c r="C131" s="2063"/>
      <c r="D131" s="1309"/>
      <c r="E131" s="1309"/>
      <c r="F131" s="1309"/>
      <c r="G131" s="1309"/>
      <c r="H131" s="1309"/>
      <c r="I131" s="1309"/>
      <c r="J131" s="1309"/>
      <c r="K131" s="1309"/>
      <c r="L131" s="1309"/>
      <c r="M131" s="1309"/>
      <c r="N131" s="1309"/>
      <c r="O131" s="1310"/>
      <c r="P131" s="1308"/>
      <c r="Q131" s="1005"/>
      <c r="R131" s="1005"/>
      <c r="S131" s="1005"/>
      <c r="T131" s="1005"/>
      <c r="U131" s="1005"/>
      <c r="V131" s="1005"/>
      <c r="W131" s="2050"/>
      <c r="X131" s="2094"/>
      <c r="Y131" s="2095"/>
      <c r="Z131" s="2095"/>
      <c r="AA131" s="2095"/>
      <c r="AB131" s="2095"/>
      <c r="AC131" s="2095"/>
      <c r="AD131" s="2095"/>
      <c r="AE131" s="2095"/>
      <c r="AF131" s="2096"/>
      <c r="AG131" s="1006"/>
      <c r="AH131" s="1303"/>
      <c r="AI131" s="1303"/>
      <c r="AJ131" s="1303"/>
      <c r="AK131" s="1303"/>
      <c r="AL131" s="1303"/>
      <c r="AM131" s="1303"/>
      <c r="AN131" s="1320"/>
    </row>
    <row r="132" spans="2:40" ht="3" customHeight="1">
      <c r="B132" s="141"/>
      <c r="C132" s="2063"/>
      <c r="D132" s="1309"/>
      <c r="E132" s="1309"/>
      <c r="F132" s="1309"/>
      <c r="G132" s="1309"/>
      <c r="H132" s="1309"/>
      <c r="I132" s="1309"/>
      <c r="J132" s="1309"/>
      <c r="K132" s="1309"/>
      <c r="L132" s="1309"/>
      <c r="M132" s="1309"/>
      <c r="N132" s="1309"/>
      <c r="O132" s="1310"/>
      <c r="P132" s="1308"/>
      <c r="Q132" s="1005"/>
      <c r="R132" s="1005"/>
      <c r="S132" s="1005"/>
      <c r="T132" s="1005"/>
      <c r="U132" s="1005"/>
      <c r="V132" s="1005"/>
      <c r="W132" s="2050"/>
      <c r="X132" s="2097"/>
      <c r="Y132" s="2098"/>
      <c r="Z132" s="2098"/>
      <c r="AA132" s="2098"/>
      <c r="AB132" s="2098"/>
      <c r="AC132" s="2098"/>
      <c r="AD132" s="2098"/>
      <c r="AE132" s="2098"/>
      <c r="AF132" s="2099"/>
      <c r="AG132" s="1303"/>
      <c r="AH132" s="1303"/>
      <c r="AI132" s="1303"/>
      <c r="AJ132" s="1303"/>
      <c r="AK132" s="1303"/>
      <c r="AL132" s="1303"/>
      <c r="AM132" s="1303"/>
      <c r="AN132" s="1320"/>
    </row>
    <row r="133" spans="2:40" ht="15" customHeight="1">
      <c r="B133" s="1304" t="s">
        <v>388</v>
      </c>
      <c r="C133" s="2060" t="str">
        <f>IF('GENERAL INFO'!C73="","-",'GENERAL INFO'!C73)</f>
        <v>-</v>
      </c>
      <c r="D133" s="2061"/>
      <c r="E133" s="2061"/>
      <c r="F133" s="2061"/>
      <c r="G133" s="2061"/>
      <c r="H133" s="2061"/>
      <c r="I133" s="2061"/>
      <c r="J133" s="2061"/>
      <c r="K133" s="2061"/>
      <c r="L133" s="2061"/>
      <c r="M133" s="2061"/>
      <c r="N133" s="2061"/>
      <c r="O133" s="2062"/>
      <c r="P133" s="2048" t="str">
        <f>IF('GENERAL INFO'!J73="","-",'GENERAL INFO'!J73)</f>
        <v>-</v>
      </c>
      <c r="Q133" s="2059"/>
      <c r="R133" s="2059"/>
      <c r="S133" s="2059"/>
      <c r="T133" s="2059"/>
      <c r="U133" s="2059"/>
      <c r="V133" s="2059"/>
      <c r="W133" s="2049"/>
      <c r="X133" s="2091" t="str">
        <f>IF('GENERAL INFO'!E73="","-",IF('GENERAL INFO'!E73="Wife","妻/ Wife",IF('GENERAL INFO'!E73="Child","子/ Child",IF('GENERAL INFO'!E73="Brother/sister","兄弟／姉妹/ Brother/Sister",IF('GENERAL INFO'!E73="Husband","夫/ Husband","その他/ Other")))))</f>
        <v>-</v>
      </c>
      <c r="Y133" s="2092"/>
      <c r="Z133" s="2092"/>
      <c r="AA133" s="2092"/>
      <c r="AB133" s="2092"/>
      <c r="AC133" s="2092"/>
      <c r="AD133" s="2092"/>
      <c r="AE133" s="2092"/>
      <c r="AF133" s="2093"/>
      <c r="AG133" s="1968" t="str">
        <f>IF('GENERAL INFO'!N73="","-",IF('GENERAL INFO'!N73="Housewife","主婦/ Housewife",IF('GENERAL INFO'!N73="Employee","従業員/ Employee",IF('GENERAL INFO'!N73="Student","学生/Student","-"))))</f>
        <v>-</v>
      </c>
      <c r="AH133" s="1969"/>
      <c r="AI133" s="1969"/>
      <c r="AJ133" s="1969"/>
      <c r="AK133" s="1969"/>
      <c r="AL133" s="1969"/>
      <c r="AM133" s="1969"/>
      <c r="AN133" s="1386"/>
    </row>
    <row r="134" spans="2:40" ht="6" customHeight="1">
      <c r="B134" s="1294"/>
      <c r="C134" s="2063"/>
      <c r="D134" s="1309"/>
      <c r="E134" s="1309"/>
      <c r="F134" s="1309"/>
      <c r="G134" s="1309"/>
      <c r="H134" s="1309"/>
      <c r="I134" s="1309"/>
      <c r="J134" s="1309"/>
      <c r="K134" s="1309"/>
      <c r="L134" s="1309"/>
      <c r="M134" s="1309"/>
      <c r="N134" s="1309"/>
      <c r="O134" s="1310"/>
      <c r="P134" s="1308"/>
      <c r="Q134" s="1005"/>
      <c r="R134" s="1005"/>
      <c r="S134" s="1005"/>
      <c r="T134" s="1005"/>
      <c r="U134" s="1005"/>
      <c r="V134" s="1005"/>
      <c r="W134" s="2050"/>
      <c r="X134" s="2094"/>
      <c r="Y134" s="2095"/>
      <c r="Z134" s="2095"/>
      <c r="AA134" s="2095"/>
      <c r="AB134" s="2095"/>
      <c r="AC134" s="2095"/>
      <c r="AD134" s="2095"/>
      <c r="AE134" s="2095"/>
      <c r="AF134" s="2096"/>
      <c r="AG134" s="1006"/>
      <c r="AH134" s="1303"/>
      <c r="AI134" s="1303"/>
      <c r="AJ134" s="1303"/>
      <c r="AK134" s="1303"/>
      <c r="AL134" s="1303"/>
      <c r="AM134" s="1303"/>
      <c r="AN134" s="286"/>
    </row>
    <row r="135" spans="2:40" ht="3" customHeight="1">
      <c r="B135" s="141"/>
      <c r="C135" s="2063"/>
      <c r="D135" s="1309"/>
      <c r="E135" s="1309"/>
      <c r="F135" s="1309"/>
      <c r="G135" s="1309"/>
      <c r="H135" s="1309"/>
      <c r="I135" s="1309"/>
      <c r="J135" s="1309"/>
      <c r="K135" s="1309"/>
      <c r="L135" s="1309"/>
      <c r="M135" s="1309"/>
      <c r="N135" s="1309"/>
      <c r="O135" s="1310"/>
      <c r="P135" s="1308"/>
      <c r="Q135" s="1005"/>
      <c r="R135" s="1005"/>
      <c r="S135" s="1005"/>
      <c r="T135" s="1005"/>
      <c r="U135" s="1005"/>
      <c r="V135" s="1005"/>
      <c r="W135" s="2050"/>
      <c r="X135" s="2097"/>
      <c r="Y135" s="2098"/>
      <c r="Z135" s="2098"/>
      <c r="AA135" s="2098"/>
      <c r="AB135" s="2098"/>
      <c r="AC135" s="2098"/>
      <c r="AD135" s="2098"/>
      <c r="AE135" s="2098"/>
      <c r="AF135" s="2099"/>
      <c r="AG135" s="1303"/>
      <c r="AH135" s="1303"/>
      <c r="AI135" s="1303"/>
      <c r="AJ135" s="1303"/>
      <c r="AK135" s="1303"/>
      <c r="AL135" s="1303"/>
      <c r="AM135" s="1303"/>
      <c r="AN135" s="762"/>
    </row>
    <row r="136" spans="2:40" ht="15" customHeight="1">
      <c r="B136" s="1304" t="s">
        <v>389</v>
      </c>
      <c r="C136" s="2060" t="str">
        <f>IF('GENERAL INFO'!C74="","-",'GENERAL INFO'!C74)</f>
        <v>-</v>
      </c>
      <c r="D136" s="2061"/>
      <c r="E136" s="2061"/>
      <c r="F136" s="2061"/>
      <c r="G136" s="2061"/>
      <c r="H136" s="2061"/>
      <c r="I136" s="2061"/>
      <c r="J136" s="2061"/>
      <c r="K136" s="2061"/>
      <c r="L136" s="2061"/>
      <c r="M136" s="2061"/>
      <c r="N136" s="2061"/>
      <c r="O136" s="2062"/>
      <c r="P136" s="2048" t="str">
        <f>IF('GENERAL INFO'!J74="","-",'GENERAL INFO'!J74)</f>
        <v>-</v>
      </c>
      <c r="Q136" s="2059"/>
      <c r="R136" s="2059"/>
      <c r="S136" s="2059"/>
      <c r="T136" s="2059"/>
      <c r="U136" s="2059"/>
      <c r="V136" s="2059"/>
      <c r="W136" s="2049"/>
      <c r="X136" s="2091" t="str">
        <f>IF('GENERAL INFO'!E74="","-",IF('GENERAL INFO'!E74="Wife","妻/ Wife",IF('GENERAL INFO'!E74="Child","子/ Child",IF('GENERAL INFO'!E74="Brother/sister","兄弟／姉妹/ Brother/Sister",IF('GENERAL INFO'!E74="Husband","夫/ Husband","その他/ Other")))))</f>
        <v>-</v>
      </c>
      <c r="Y136" s="2092"/>
      <c r="Z136" s="2092"/>
      <c r="AA136" s="2092"/>
      <c r="AB136" s="2092"/>
      <c r="AC136" s="2092"/>
      <c r="AD136" s="2092"/>
      <c r="AE136" s="2092"/>
      <c r="AF136" s="2093"/>
      <c r="AG136" s="1968" t="str">
        <f>IF('GENERAL INFO'!N74="","-",IF('GENERAL INFO'!N74="Housewife","主婦/ Housewife",IF('GENERAL INFO'!N74="Employee","従業員/ Employee",IF('GENERAL INFO'!N74="Student","学生/Student","-"))))</f>
        <v>-</v>
      </c>
      <c r="AH136" s="1969"/>
      <c r="AI136" s="1969"/>
      <c r="AJ136" s="1969"/>
      <c r="AK136" s="1969"/>
      <c r="AL136" s="1969"/>
      <c r="AM136" s="1969"/>
      <c r="AN136" s="1386"/>
    </row>
    <row r="137" spans="2:40" ht="3.75" customHeight="1">
      <c r="B137" s="1294"/>
      <c r="C137" s="2063"/>
      <c r="D137" s="1309"/>
      <c r="E137" s="1309"/>
      <c r="F137" s="1309"/>
      <c r="G137" s="1309"/>
      <c r="H137" s="1309"/>
      <c r="I137" s="1309"/>
      <c r="J137" s="1309"/>
      <c r="K137" s="1309"/>
      <c r="L137" s="1309"/>
      <c r="M137" s="1309"/>
      <c r="N137" s="1309"/>
      <c r="O137" s="1310"/>
      <c r="P137" s="1308"/>
      <c r="Q137" s="1005"/>
      <c r="R137" s="1005"/>
      <c r="S137" s="1005"/>
      <c r="T137" s="1005"/>
      <c r="U137" s="1005"/>
      <c r="V137" s="1005"/>
      <c r="W137" s="2050"/>
      <c r="X137" s="2094"/>
      <c r="Y137" s="2095"/>
      <c r="Z137" s="2095"/>
      <c r="AA137" s="2095"/>
      <c r="AB137" s="2095"/>
      <c r="AC137" s="2095"/>
      <c r="AD137" s="2095"/>
      <c r="AE137" s="2095"/>
      <c r="AF137" s="2096"/>
      <c r="AG137" s="1006"/>
      <c r="AH137" s="1303"/>
      <c r="AI137" s="1303"/>
      <c r="AJ137" s="1303"/>
      <c r="AK137" s="1303"/>
      <c r="AL137" s="1303"/>
      <c r="AM137" s="1303"/>
      <c r="AN137" s="286"/>
    </row>
    <row r="138" spans="2:40" ht="3" customHeight="1">
      <c r="B138" s="141"/>
      <c r="C138" s="2063"/>
      <c r="D138" s="1309"/>
      <c r="E138" s="1309"/>
      <c r="F138" s="1309"/>
      <c r="G138" s="1309"/>
      <c r="H138" s="1309"/>
      <c r="I138" s="1309"/>
      <c r="J138" s="1309"/>
      <c r="K138" s="1309"/>
      <c r="L138" s="1309"/>
      <c r="M138" s="1309"/>
      <c r="N138" s="1309"/>
      <c r="O138" s="1310"/>
      <c r="P138" s="1308"/>
      <c r="Q138" s="1005"/>
      <c r="R138" s="1005"/>
      <c r="S138" s="1005"/>
      <c r="T138" s="1005"/>
      <c r="U138" s="1005"/>
      <c r="V138" s="1005"/>
      <c r="W138" s="2050"/>
      <c r="X138" s="2097"/>
      <c r="Y138" s="2098"/>
      <c r="Z138" s="2098"/>
      <c r="AA138" s="2098"/>
      <c r="AB138" s="2098"/>
      <c r="AC138" s="2098"/>
      <c r="AD138" s="2098"/>
      <c r="AE138" s="2098"/>
      <c r="AF138" s="2099"/>
      <c r="AG138" s="1303"/>
      <c r="AH138" s="1303"/>
      <c r="AI138" s="1303"/>
      <c r="AJ138" s="1303"/>
      <c r="AK138" s="1303"/>
      <c r="AL138" s="1303"/>
      <c r="AM138" s="1303"/>
      <c r="AN138" s="762"/>
    </row>
    <row r="139" spans="2:40" ht="15" customHeight="1">
      <c r="B139" s="1304" t="s">
        <v>390</v>
      </c>
      <c r="C139" s="2060" t="str">
        <f>IF('GENERAL INFO'!C75="","-",'GENERAL INFO'!C75)</f>
        <v>-</v>
      </c>
      <c r="D139" s="2061"/>
      <c r="E139" s="2061"/>
      <c r="F139" s="2061"/>
      <c r="G139" s="2061"/>
      <c r="H139" s="2061"/>
      <c r="I139" s="2061"/>
      <c r="J139" s="2061"/>
      <c r="K139" s="2061"/>
      <c r="L139" s="2061"/>
      <c r="M139" s="2061"/>
      <c r="N139" s="2061"/>
      <c r="O139" s="2062"/>
      <c r="P139" s="2048" t="str">
        <f>IF('GENERAL INFO'!J75="","-",'GENERAL INFO'!J75)</f>
        <v>-</v>
      </c>
      <c r="Q139" s="2059"/>
      <c r="R139" s="2059"/>
      <c r="S139" s="2059"/>
      <c r="T139" s="2059"/>
      <c r="U139" s="2059"/>
      <c r="V139" s="2059"/>
      <c r="W139" s="2049"/>
      <c r="X139" s="2091" t="str">
        <f>IF('GENERAL INFO'!E75="","-",IF('GENERAL INFO'!E75="Wife","妻/ Wife",IF('GENERAL INFO'!E75="Child","子/ Child",IF('GENERAL INFO'!E75="Brother/sister","兄弟／姉妹/ Brother/Sister",IF('GENERAL INFO'!E75="Husband","夫/ Husband","その他/ Other")))))</f>
        <v>-</v>
      </c>
      <c r="Y139" s="2092"/>
      <c r="Z139" s="2092"/>
      <c r="AA139" s="2092"/>
      <c r="AB139" s="2092"/>
      <c r="AC139" s="2092"/>
      <c r="AD139" s="2092"/>
      <c r="AE139" s="2092"/>
      <c r="AF139" s="2093"/>
      <c r="AG139" s="1968" t="str">
        <f>IF('GENERAL INFO'!N75="","-",IF('GENERAL INFO'!N75="Housewife","主婦/ Housewife",IF('GENERAL INFO'!N75="Employee","従業員/ Employee",IF('GENERAL INFO'!N75="Student","学生/Student","-"))))</f>
        <v>-</v>
      </c>
      <c r="AH139" s="1969"/>
      <c r="AI139" s="1969"/>
      <c r="AJ139" s="1969"/>
      <c r="AK139" s="1969"/>
      <c r="AL139" s="1969"/>
      <c r="AM139" s="1969"/>
      <c r="AN139" s="1386"/>
    </row>
    <row r="140" spans="2:40" ht="3.75" customHeight="1">
      <c r="B140" s="1294"/>
      <c r="C140" s="2063"/>
      <c r="D140" s="1309"/>
      <c r="E140" s="1309"/>
      <c r="F140" s="1309"/>
      <c r="G140" s="1309"/>
      <c r="H140" s="1309"/>
      <c r="I140" s="1309"/>
      <c r="J140" s="1309"/>
      <c r="K140" s="1309"/>
      <c r="L140" s="1309"/>
      <c r="M140" s="1309"/>
      <c r="N140" s="1309"/>
      <c r="O140" s="1310"/>
      <c r="P140" s="1308"/>
      <c r="Q140" s="1005"/>
      <c r="R140" s="1005"/>
      <c r="S140" s="1005"/>
      <c r="T140" s="1005"/>
      <c r="U140" s="1005"/>
      <c r="V140" s="1005"/>
      <c r="W140" s="2050"/>
      <c r="X140" s="2094"/>
      <c r="Y140" s="2095"/>
      <c r="Z140" s="2095"/>
      <c r="AA140" s="2095"/>
      <c r="AB140" s="2095"/>
      <c r="AC140" s="2095"/>
      <c r="AD140" s="2095"/>
      <c r="AE140" s="2095"/>
      <c r="AF140" s="2096"/>
      <c r="AG140" s="1006"/>
      <c r="AH140" s="1303"/>
      <c r="AI140" s="1303"/>
      <c r="AJ140" s="1303"/>
      <c r="AK140" s="1303"/>
      <c r="AL140" s="1303"/>
      <c r="AM140" s="1303"/>
      <c r="AN140" s="286"/>
    </row>
    <row r="141" spans="2:40" ht="3" customHeight="1">
      <c r="B141" s="1900"/>
      <c r="C141" s="2104"/>
      <c r="D141" s="2105"/>
      <c r="E141" s="2105"/>
      <c r="F141" s="2105"/>
      <c r="G141" s="2105"/>
      <c r="H141" s="2105"/>
      <c r="I141" s="2105"/>
      <c r="J141" s="2105"/>
      <c r="K141" s="2105"/>
      <c r="L141" s="2105"/>
      <c r="M141" s="2105"/>
      <c r="N141" s="2105"/>
      <c r="O141" s="2106"/>
      <c r="P141" s="2107"/>
      <c r="Q141" s="2108"/>
      <c r="R141" s="2108"/>
      <c r="S141" s="2108"/>
      <c r="T141" s="2108"/>
      <c r="U141" s="2108"/>
      <c r="V141" s="2108"/>
      <c r="W141" s="2109"/>
      <c r="X141" s="2110"/>
      <c r="Y141" s="2111"/>
      <c r="Z141" s="2111"/>
      <c r="AA141" s="2111"/>
      <c r="AB141" s="2111"/>
      <c r="AC141" s="2111"/>
      <c r="AD141" s="2111"/>
      <c r="AE141" s="2111"/>
      <c r="AF141" s="2112"/>
      <c r="AG141" s="968"/>
      <c r="AH141" s="968"/>
      <c r="AI141" s="968"/>
      <c r="AJ141" s="968"/>
      <c r="AK141" s="968"/>
      <c r="AL141" s="968"/>
      <c r="AM141" s="968"/>
      <c r="AN141" s="311"/>
    </row>
    <row r="142" spans="2:40" customHeight="1" thickBot="1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</row>
    <row r="143" spans="2:36" ht="15" customHeight="1" thickBot="1">
      <c r="B143" s="969" t="s">
        <v>736</v>
      </c>
      <c r="C143" s="317"/>
      <c r="D143" s="317"/>
      <c r="E143" s="317"/>
      <c r="F143" s="317"/>
      <c r="G143" s="317"/>
      <c r="H143" s="317"/>
      <c r="I143" s="317"/>
      <c r="J143" s="317"/>
      <c r="K143" s="317"/>
      <c r="L143" s="317"/>
      <c r="M143" s="317"/>
      <c r="N143" s="317"/>
      <c r="O143" s="317"/>
      <c r="P143" s="317"/>
      <c r="Q143" s="317"/>
      <c r="R143" s="317"/>
      <c r="S143" s="318"/>
      <c r="T143" s="319"/>
      <c r="U143" s="53"/>
      <c r="V143" s="53"/>
      <c r="W143" s="53"/>
      <c r="X143" s="53"/>
      <c r="Y143" s="53"/>
      <c r="Z143" s="53"/>
      <c r="AC143" s="62" t="s">
        <v>737</v>
      </c>
      <c r="AD143" s="62"/>
      <c r="AE143" s="62"/>
      <c r="AF143"/>
      <c r="AG143" s="1387">
        <v>1</v>
      </c>
      <c r="AH143" s="58" t="s">
        <v>738</v>
      </c>
      <c r="AI143" s="1387">
        <v>1</v>
      </c>
      <c r="AJ143" s="62" t="s">
        <v>767</v>
      </c>
    </row>
    <row r="144" spans="1:41" customHeight="1">
      <c r="A144" s="1"/>
      <c r="B144" s="4"/>
      <c r="C144" s="4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O144" s="55"/>
    </row>
    <row r="147" spans="21:21" customHeight="1">
      <c r="U147" s="22"/>
    </row>
  </sheetData>
  <sheetProtection password="BDAF" sheet="1" objects="1" scenarios="1" selectLockedCells="1" selectUnlockedCells="1"/>
  <mergeCells count="198">
    <mergeCell ref="B139:B141"/>
    <mergeCell ref="C139:O141"/>
    <mergeCell ref="P139:W141"/>
    <mergeCell ref="X139:AF141"/>
    <mergeCell ref="AG139:AM140"/>
    <mergeCell ref="B133:B134"/>
    <mergeCell ref="C133:O135"/>
    <mergeCell ref="P133:W135"/>
    <mergeCell ref="X133:AF135"/>
    <mergeCell ref="AG133:AM134"/>
    <mergeCell ref="B136:B137"/>
    <mergeCell ref="C136:O138"/>
    <mergeCell ref="P136:W138"/>
    <mergeCell ref="X136:AF138"/>
    <mergeCell ref="AG136:AM137"/>
    <mergeCell ref="B127:B128"/>
    <mergeCell ref="C127:O129"/>
    <mergeCell ref="P127:W129"/>
    <mergeCell ref="X127:AF129"/>
    <mergeCell ref="AG127:AM128"/>
    <mergeCell ref="B130:B131"/>
    <mergeCell ref="C130:O132"/>
    <mergeCell ref="P130:W132"/>
    <mergeCell ref="X130:AF132"/>
    <mergeCell ref="AG130:AM131"/>
    <mergeCell ref="B123:B125"/>
    <mergeCell ref="C123:O125"/>
    <mergeCell ref="P123:W125"/>
    <mergeCell ref="X123:AF125"/>
    <mergeCell ref="AG123:AN125"/>
    <mergeCell ref="C126:O126"/>
    <mergeCell ref="P126:W126"/>
    <mergeCell ref="X126:AF126"/>
    <mergeCell ref="AG126:AN126"/>
    <mergeCell ref="B109:B110"/>
    <mergeCell ref="C109:D110"/>
    <mergeCell ref="E109:O110"/>
    <mergeCell ref="AD109:AN110"/>
    <mergeCell ref="AG112:AN113"/>
    <mergeCell ref="C115:Y117"/>
    <mergeCell ref="AD115:AM116"/>
    <mergeCell ref="B103:B104"/>
    <mergeCell ref="C103:D104"/>
    <mergeCell ref="E103:O104"/>
    <mergeCell ref="AD103:AN104"/>
    <mergeCell ref="B106:B107"/>
    <mergeCell ref="C106:D107"/>
    <mergeCell ref="E106:O107"/>
    <mergeCell ref="AD106:AN107"/>
    <mergeCell ref="Z103:AC104"/>
    <mergeCell ref="Z106:AC107"/>
    <mergeCell ref="Z109:AC110"/>
    <mergeCell ref="Z112:AC113"/>
    <mergeCell ref="C99:D99"/>
    <mergeCell ref="E99:O99"/>
    <mergeCell ref="P99:Y99"/>
    <mergeCell ref="Z99:AC99"/>
    <mergeCell ref="AD99:AN99"/>
    <mergeCell ref="B100:B101"/>
    <mergeCell ref="C100:D101"/>
    <mergeCell ref="E100:O102"/>
    <mergeCell ref="AD100:AN101"/>
    <mergeCell ref="Z100:AC101"/>
    <mergeCell ref="B96:B98"/>
    <mergeCell ref="C96:D98"/>
    <mergeCell ref="E96:O96"/>
    <mergeCell ref="P96:Y96"/>
    <mergeCell ref="Z96:AC96"/>
    <mergeCell ref="AD96:AN97"/>
    <mergeCell ref="E97:O97"/>
    <mergeCell ref="P97:Y97"/>
    <mergeCell ref="Z97:AC97"/>
    <mergeCell ref="C85:D86"/>
    <mergeCell ref="E85:M86"/>
    <mergeCell ref="N85:Q86"/>
    <mergeCell ref="R85:AC86"/>
    <mergeCell ref="AG85:AN86"/>
    <mergeCell ref="C88:M90"/>
    <mergeCell ref="P88:Q90"/>
    <mergeCell ref="R88:AB89"/>
    <mergeCell ref="B82:B84"/>
    <mergeCell ref="C82:D83"/>
    <mergeCell ref="E82:M83"/>
    <mergeCell ref="N82:Q83"/>
    <mergeCell ref="R82:AC83"/>
    <mergeCell ref="AG82:AN83"/>
    <mergeCell ref="B79:B80"/>
    <mergeCell ref="C79:D80"/>
    <mergeCell ref="E79:M80"/>
    <mergeCell ref="N79:Q80"/>
    <mergeCell ref="R79:AC80"/>
    <mergeCell ref="AG79:AN80"/>
    <mergeCell ref="B76:B77"/>
    <mergeCell ref="C76:D77"/>
    <mergeCell ref="E76:M77"/>
    <mergeCell ref="N76:Q77"/>
    <mergeCell ref="R76:AC77"/>
    <mergeCell ref="AD76:AN77"/>
    <mergeCell ref="C72:D72"/>
    <mergeCell ref="E72:M72"/>
    <mergeCell ref="N72:Q72"/>
    <mergeCell ref="R72:AC72"/>
    <mergeCell ref="AD72:AN72"/>
    <mergeCell ref="B73:B74"/>
    <mergeCell ref="C73:D74"/>
    <mergeCell ref="E73:M75"/>
    <mergeCell ref="N73:Q74"/>
    <mergeCell ref="R73:AC75"/>
    <mergeCell ref="AD73:AN74"/>
    <mergeCell ref="B69:B71"/>
    <mergeCell ref="C69:D71"/>
    <mergeCell ref="E69:M71"/>
    <mergeCell ref="N69:Q71"/>
    <mergeCell ref="R69:AC69"/>
    <mergeCell ref="AD69:AN71"/>
    <mergeCell ref="R70:AC70"/>
    <mergeCell ref="B61:B62"/>
    <mergeCell ref="R61:AB62"/>
    <mergeCell ref="AD61:AM62"/>
    <mergeCell ref="H62:Q62"/>
    <mergeCell ref="C63:Q65"/>
    <mergeCell ref="AB63:AC65"/>
    <mergeCell ref="AD63:AM65"/>
    <mergeCell ref="AD54:AM56"/>
    <mergeCell ref="B55:B56"/>
    <mergeCell ref="C55:Q56"/>
    <mergeCell ref="R55:AB56"/>
    <mergeCell ref="B58:B59"/>
    <mergeCell ref="C58:Q59"/>
    <mergeCell ref="R58:AB59"/>
    <mergeCell ref="AD58:AM59"/>
    <mergeCell ref="AD48:AM50"/>
    <mergeCell ref="B49:B50"/>
    <mergeCell ref="C49:Q50"/>
    <mergeCell ref="R49:AB50"/>
    <mergeCell ref="AD51:AM53"/>
    <mergeCell ref="B52:B53"/>
    <mergeCell ref="C52:Q53"/>
    <mergeCell ref="R52:AB53"/>
    <mergeCell ref="B43:B44"/>
    <mergeCell ref="C43:M44"/>
    <mergeCell ref="N43:Q44"/>
    <mergeCell ref="R43:AB44"/>
    <mergeCell ref="AD43:AM44"/>
    <mergeCell ref="AD45:AM47"/>
    <mergeCell ref="B46:B47"/>
    <mergeCell ref="C46:Q47"/>
    <mergeCell ref="R46:AB47"/>
    <mergeCell ref="B37:B38"/>
    <mergeCell ref="C37:Q38"/>
    <mergeCell ref="R37:AB38"/>
    <mergeCell ref="AD37:AM38"/>
    <mergeCell ref="B40:B41"/>
    <mergeCell ref="C40:P41"/>
    <mergeCell ref="R40:AB41"/>
    <mergeCell ref="AD40:AM41"/>
    <mergeCell ref="AD30:AM32"/>
    <mergeCell ref="B31:B32"/>
    <mergeCell ref="C31:Q32"/>
    <mergeCell ref="R31:AB32"/>
    <mergeCell ref="AD33:AM35"/>
    <mergeCell ref="B34:B35"/>
    <mergeCell ref="C34:P35"/>
    <mergeCell ref="R34:AB35"/>
    <mergeCell ref="B25:B26"/>
    <mergeCell ref="C25:Q26"/>
    <mergeCell ref="R25:AB26"/>
    <mergeCell ref="AD25:AM26"/>
    <mergeCell ref="AD27:AM29"/>
    <mergeCell ref="B28:B29"/>
    <mergeCell ref="C28:M29"/>
    <mergeCell ref="R28:AB29"/>
    <mergeCell ref="C20:Q20"/>
    <mergeCell ref="R20:AC20"/>
    <mergeCell ref="AD20:AN20"/>
    <mergeCell ref="B22:B23"/>
    <mergeCell ref="C22:Q23"/>
    <mergeCell ref="R22:AB23"/>
    <mergeCell ref="AD22:AM23"/>
    <mergeCell ref="B17:B19"/>
    <mergeCell ref="C17:Q19"/>
    <mergeCell ref="R17:AC17"/>
    <mergeCell ref="AD17:AN18"/>
    <mergeCell ref="R18:AC18"/>
    <mergeCell ref="R19:AC19"/>
    <mergeCell ref="AD19:AN19"/>
    <mergeCell ref="AK2:AL3"/>
    <mergeCell ref="AM2:AN3"/>
    <mergeCell ref="K3:AD3"/>
    <mergeCell ref="C5:J5"/>
    <mergeCell ref="L5:W5"/>
    <mergeCell ref="C6:J6"/>
    <mergeCell ref="B2:B8"/>
    <mergeCell ref="C2:J4"/>
    <mergeCell ref="K2:AD2"/>
    <mergeCell ref="AE2:AF8"/>
    <mergeCell ref="AG2:AH3"/>
    <mergeCell ref="AI2:AJ3"/>
  </mergeCells>
  <printOptions horizontalCentered="1"/>
  <pageMargins left="0.7" right="0.7" top="0.75" bottom="0.75" header="0.3" footer="0.3"/>
  <pageSetup paperSize="5" scale="59" fitToHeight="0" orientation="portrait" r:id="rId1"/>
  <headerFooter alignWithMargins="0">
    <oddHeader>&amp;R&amp;"Arial,Bold"&amp;14C.2.1.&amp;P</oddHeader>
    <oddFooter>&amp;L&amp;8Page &amp;P of &amp;N&amp;R&amp;8Printed on &amp;D,&amp;T</oddFooter>
  </headerFooter>
  <ignoredErrors>
    <ignoredError sqref="AD109 AD106" unlockedFormula="1"/>
  </ignoredErrors>
</worksheet>
</file>

<file path=xl/worksheets/sheet1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6699"/>
    <pageSetUpPr fitToPage="1"/>
  </sheetPr>
  <dimension ref="A1:BC147"/>
  <sheetViews>
    <sheetView showGridLines="0" zoomScaleNormal="75" zoomScaleSheetLayoutView="100" view="pageBreakPreview" workbookViewId="0">
      <selection pane="topLeft" activeCell="C2" sqref="C2"/>
    </sheetView>
  </sheetViews>
  <sheetFormatPr defaultColWidth="3.7109375" customHeight="1" defaultRowHeight="10" baseColWidth="0"/>
  <cols>
    <col min="1" max="1" width="3.7109375" customWidth="1"/>
    <col min="2" max="2" width="5.28125" customWidth="1"/>
    <col min="3" max="3" width="4.7109375" customWidth="1"/>
    <col min="30" max="30" width="3.56640625" customWidth="1"/>
    <col min="31" max="31" width="3.8515625" customWidth="1"/>
    <col min="47" max="47" width="9.7109375" bestFit="1" customWidth="1"/>
  </cols>
  <sheetData>
    <row r="1" spans="1:41" customHeight="1">
      <c r="A1" s="1"/>
      <c r="B1"/>
      <c r="AO1" s="1"/>
    </row>
    <row r="2" spans="1:40" ht="12.75" customHeight="1">
      <c r="A2"/>
      <c r="B2" s="1478" t="s">
        <v>630</v>
      </c>
      <c r="C2" s="1774" t="s">
        <v>85</v>
      </c>
      <c r="D2" s="1774"/>
      <c r="E2" s="1774"/>
      <c r="F2" s="1774"/>
      <c r="G2" s="1774"/>
      <c r="H2" s="1774"/>
      <c r="I2" s="1774"/>
      <c r="J2" s="1956"/>
      <c r="K2" s="1957" t="s">
        <v>740</v>
      </c>
      <c r="L2" s="1958"/>
      <c r="M2" s="1958"/>
      <c r="N2" s="1958"/>
      <c r="O2" s="1958"/>
      <c r="P2" s="1958"/>
      <c r="Q2" s="1958"/>
      <c r="R2" s="1958"/>
      <c r="S2" s="1958"/>
      <c r="T2" s="1958"/>
      <c r="U2" s="1958"/>
      <c r="V2" s="1958"/>
      <c r="W2" s="1958"/>
      <c r="X2" s="1958"/>
      <c r="Y2" s="1958"/>
      <c r="Z2" s="1958"/>
      <c r="AA2" s="1958"/>
      <c r="AB2" s="1958"/>
      <c r="AC2" s="1958"/>
      <c r="AD2" s="1959"/>
      <c r="AE2" s="1884" t="s">
        <v>632</v>
      </c>
      <c r="AF2" s="1838"/>
      <c r="AG2" s="1950">
        <f>year01</f>
        <v>0</v>
      </c>
      <c r="AH2" s="1950"/>
      <c r="AI2" s="1950">
        <f>year02</f>
        <v>0</v>
      </c>
      <c r="AJ2" s="1950"/>
      <c r="AK2" s="1950">
        <f>year03</f>
        <v>0</v>
      </c>
      <c r="AL2" s="1950"/>
      <c r="AM2" s="1950">
        <f>year04</f>
        <v>0</v>
      </c>
      <c r="AN2" s="1950"/>
    </row>
    <row r="3" spans="2:40" ht="15" customHeight="1">
      <c r="B3" s="1478"/>
      <c r="C3" s="1774"/>
      <c r="D3" s="1774"/>
      <c r="E3" s="1774"/>
      <c r="F3" s="1774"/>
      <c r="G3" s="1774"/>
      <c r="H3" s="1774"/>
      <c r="I3" s="1774"/>
      <c r="J3" s="1956"/>
      <c r="K3" s="1951" t="s">
        <v>697</v>
      </c>
      <c r="L3" s="1005"/>
      <c r="M3" s="1005"/>
      <c r="N3" s="1005"/>
      <c r="O3" s="1005"/>
      <c r="P3" s="1005"/>
      <c r="Q3" s="1005"/>
      <c r="R3" s="1005"/>
      <c r="S3" s="1005"/>
      <c r="T3" s="1005"/>
      <c r="U3" s="1005"/>
      <c r="V3" s="1005"/>
      <c r="W3" s="1005"/>
      <c r="X3" s="1005"/>
      <c r="Y3" s="1005"/>
      <c r="Z3" s="1005"/>
      <c r="AA3" s="1005"/>
      <c r="AB3" s="1005"/>
      <c r="AC3" s="1005"/>
      <c r="AD3" s="1952"/>
      <c r="AE3" s="1884"/>
      <c r="AF3" s="1838"/>
      <c r="AG3" s="1950"/>
      <c r="AH3" s="1950"/>
      <c r="AI3" s="1950"/>
      <c r="AJ3" s="1950"/>
      <c r="AK3" s="1950"/>
      <c r="AL3" s="1950"/>
      <c r="AM3" s="1950"/>
      <c r="AN3" s="1950"/>
    </row>
    <row r="4" spans="2:40" ht="3" customHeight="1" thickBot="1">
      <c r="B4" s="1478"/>
      <c r="C4" s="1774"/>
      <c r="D4" s="1774"/>
      <c r="E4" s="1774"/>
      <c r="F4" s="1774"/>
      <c r="G4" s="1774"/>
      <c r="H4" s="1774"/>
      <c r="I4" s="1774"/>
      <c r="J4" s="1956"/>
      <c r="K4" s="313"/>
      <c r="L4" s="314"/>
      <c r="M4" s="314"/>
      <c r="N4" s="314"/>
      <c r="O4" s="314"/>
      <c r="P4" s="314"/>
      <c r="Q4" s="314"/>
      <c r="R4" s="314"/>
      <c r="S4" s="314"/>
      <c r="T4" s="314"/>
      <c r="U4" s="314"/>
      <c r="V4" s="314"/>
      <c r="W4" s="314"/>
      <c r="X4" s="314"/>
      <c r="Y4" s="314"/>
      <c r="Z4" s="314"/>
      <c r="AA4" s="314"/>
      <c r="AB4" s="314"/>
      <c r="AC4" s="314"/>
      <c r="AD4" s="315"/>
      <c r="AE4" s="1884"/>
      <c r="AF4" s="1838"/>
      <c r="AG4" s="202"/>
      <c r="AH4" s="202"/>
      <c r="AI4" s="202"/>
      <c r="AJ4" s="202"/>
      <c r="AK4" s="202"/>
      <c r="AL4" s="202"/>
      <c r="AM4" s="202"/>
      <c r="AN4" s="202"/>
    </row>
    <row r="5" spans="2:40" ht="15" customHeight="1">
      <c r="B5" s="1478"/>
      <c r="C5" s="204" t="s">
        <v>465</v>
      </c>
      <c r="D5" s="204"/>
      <c r="E5" s="204"/>
      <c r="F5" s="204"/>
      <c r="G5" s="204"/>
      <c r="H5" s="204"/>
      <c r="I5" s="204"/>
      <c r="J5" s="1781"/>
      <c r="K5" s="58" t="s">
        <v>23</v>
      </c>
      <c r="L5" s="1953" t="s">
        <v>741</v>
      </c>
      <c r="M5" s="1954"/>
      <c r="N5" s="1954"/>
      <c r="O5" s="1954"/>
      <c r="P5" s="1954"/>
      <c r="Q5" s="1954"/>
      <c r="R5" s="1954"/>
      <c r="S5" s="1954"/>
      <c r="T5" s="1954"/>
      <c r="U5" s="1954"/>
      <c r="V5" s="1954"/>
      <c r="W5" s="1954"/>
      <c r="X5" s="4"/>
      <c r="Y5" s="4"/>
      <c r="Z5" s="4"/>
      <c r="AA5" s="4"/>
      <c r="AB5" s="4"/>
      <c r="AC5" s="4"/>
      <c r="AD5" s="4"/>
      <c r="AE5" s="1884"/>
      <c r="AF5" s="1838"/>
      <c r="AG5" s="202"/>
      <c r="AH5" s="202"/>
      <c r="AI5" s="202"/>
      <c r="AJ5" s="202"/>
      <c r="AK5" s="202"/>
      <c r="AL5" s="202"/>
      <c r="AM5" s="202"/>
      <c r="AN5" s="202"/>
    </row>
    <row r="6" spans="2:40" ht="15" customHeight="1">
      <c r="B6" s="1478"/>
      <c r="C6" s="1875" t="s">
        <v>31</v>
      </c>
      <c r="D6" s="1875"/>
      <c r="E6" s="1875"/>
      <c r="F6" s="1875"/>
      <c r="G6" s="1875"/>
      <c r="H6" s="1875"/>
      <c r="I6" s="1875"/>
      <c r="J6" s="1876"/>
      <c r="K6" s="115" t="s">
        <v>23</v>
      </c>
      <c r="L6" s="909" t="s">
        <v>742</v>
      </c>
      <c r="M6" s="908"/>
      <c r="N6" s="908"/>
      <c r="O6" s="908"/>
      <c r="P6" s="908"/>
      <c r="Q6" s="908"/>
      <c r="R6" s="908"/>
      <c r="S6" s="908"/>
      <c r="T6" s="908"/>
      <c r="U6" s="908"/>
      <c r="V6" s="908"/>
      <c r="W6" s="908"/>
      <c r="X6" s="4"/>
      <c r="Y6" s="4"/>
      <c r="Z6" s="4"/>
      <c r="AA6" s="4"/>
      <c r="AB6" s="4"/>
      <c r="AC6" s="4"/>
      <c r="AD6" s="4"/>
      <c r="AE6" s="1884"/>
      <c r="AF6" s="1838"/>
      <c r="AG6" s="305"/>
      <c r="AH6" s="305"/>
      <c r="AI6" s="305"/>
      <c r="AJ6" s="305"/>
      <c r="AK6" s="305"/>
      <c r="AL6" s="305"/>
      <c r="AM6" s="305"/>
      <c r="AN6" s="305"/>
    </row>
    <row r="7" spans="2:32" ht="12.75" customHeight="1">
      <c r="B7" s="1478"/>
      <c r="K7" s="115" t="s">
        <v>23</v>
      </c>
      <c r="L7" s="909" t="s">
        <v>743</v>
      </c>
      <c r="M7" s="907"/>
      <c r="N7" s="907"/>
      <c r="O7" s="907"/>
      <c r="P7" s="908"/>
      <c r="Q7" s="908"/>
      <c r="R7" s="908"/>
      <c r="S7" s="908"/>
      <c r="T7" s="908"/>
      <c r="U7" s="908"/>
      <c r="V7" s="908"/>
      <c r="W7" s="908"/>
      <c r="X7" s="4"/>
      <c r="Y7" s="4"/>
      <c r="Z7" s="4"/>
      <c r="AA7" s="4"/>
      <c r="AB7" s="4"/>
      <c r="AC7" s="4"/>
      <c r="AD7" s="4"/>
      <c r="AE7" s="1884"/>
      <c r="AF7" s="1838"/>
    </row>
    <row r="8" spans="2:40" ht="15" customHeight="1" thickBot="1">
      <c r="B8" s="1955"/>
      <c r="C8" s="25"/>
      <c r="D8" s="25"/>
      <c r="E8" s="25"/>
      <c r="F8" s="25"/>
      <c r="G8" s="25"/>
      <c r="H8" s="25"/>
      <c r="I8" s="25"/>
      <c r="J8" s="77"/>
      <c r="K8" s="115" t="s">
        <v>23</v>
      </c>
      <c r="L8" s="909" t="s">
        <v>744</v>
      </c>
      <c r="M8" s="907"/>
      <c r="N8" s="907"/>
      <c r="O8" s="907"/>
      <c r="P8" s="907"/>
      <c r="Q8" s="907"/>
      <c r="R8" s="907"/>
      <c r="S8" s="907"/>
      <c r="T8" s="908"/>
      <c r="U8" s="908"/>
      <c r="V8" s="908"/>
      <c r="W8" s="908"/>
      <c r="X8" s="4"/>
      <c r="Y8" s="4"/>
      <c r="Z8" s="4"/>
      <c r="AA8" s="4"/>
      <c r="AB8" s="4"/>
      <c r="AC8" s="4"/>
      <c r="AD8" s="4"/>
      <c r="AE8" s="1885"/>
      <c r="AF8" s="48"/>
      <c r="AG8" s="4"/>
      <c r="AH8"/>
      <c r="AI8" s="25"/>
      <c r="AJ8" s="25"/>
      <c r="AK8" s="25"/>
      <c r="AL8" s="25"/>
      <c r="AM8" s="25"/>
      <c r="AN8"/>
    </row>
    <row r="9" spans="2:40" ht="2.25" customHeight="1">
      <c r="B9" s="65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13"/>
    </row>
    <row r="10" spans="2:40" s="11" customFormat="1" ht="18" customHeight="1">
      <c r="B10" s="911" t="s">
        <v>1195</v>
      </c>
      <c r="C10" s="66"/>
      <c r="D10" s="66"/>
      <c r="E10" s="66"/>
      <c r="F10" s="66"/>
      <c r="G10" s="66"/>
      <c r="H10" s="58" t="s">
        <v>26</v>
      </c>
      <c r="I10" s="62"/>
      <c r="J10" s="1338" t="str">
        <f>taxId1</f>
        <v/>
      </c>
      <c r="K10" s="1338" t="str">
        <f>taxId2</f>
        <v/>
      </c>
      <c r="L10" s="814"/>
      <c r="M10" s="1338" t="str">
        <f>taxId3</f>
        <v/>
      </c>
      <c r="N10" s="1338" t="str">
        <f>taxId4</f>
        <v/>
      </c>
      <c r="O10" s="1338" t="str">
        <f>taxId5</f>
        <v/>
      </c>
      <c r="P10" s="814"/>
      <c r="Q10" s="1338" t="str">
        <f>taxId6</f>
        <v/>
      </c>
      <c r="R10" s="1338" t="str">
        <f>taxId7</f>
        <v/>
      </c>
      <c r="S10" s="1338" t="str">
        <f>taxId8</f>
        <v/>
      </c>
      <c r="T10" s="814"/>
      <c r="U10" s="1338" t="str">
        <f>taxId9</f>
        <v/>
      </c>
      <c r="V10" s="814"/>
      <c r="W10" s="1338" t="str">
        <f>taxId10</f>
        <v/>
      </c>
      <c r="X10" s="1338" t="str">
        <f>taxId11</f>
        <v/>
      </c>
      <c r="Y10" s="1338" t="str">
        <f>taxId12</f>
        <v/>
      </c>
      <c r="Z10" s="814"/>
      <c r="AA10" s="1338" t="str">
        <f>taxId13</f>
        <v/>
      </c>
      <c r="AB10" s="1338" t="str">
        <f>taxId14</f>
        <v/>
      </c>
      <c r="AC10" s="1338" t="str">
        <f>taxId15</f>
        <v/>
      </c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47"/>
    </row>
    <row r="11" spans="2:40" ht="3" customHeight="1">
      <c r="B11" s="914"/>
      <c r="C11" s="88"/>
      <c r="D11" s="88"/>
      <c r="E11" s="88"/>
      <c r="F11" s="88"/>
      <c r="G11" s="88"/>
      <c r="H11" s="113"/>
      <c r="I11" s="88"/>
      <c r="J11" s="15"/>
      <c r="K11" s="79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306"/>
      <c r="AE11" s="306"/>
      <c r="AF11" s="306"/>
      <c r="AG11" s="306"/>
      <c r="AH11" s="306"/>
      <c r="AI11" s="306"/>
      <c r="AJ11" s="306"/>
      <c r="AK11" s="306"/>
      <c r="AL11" s="306"/>
      <c r="AM11" s="306"/>
      <c r="AN11" s="52"/>
    </row>
    <row r="12" spans="2:41" s="11" customFormat="1" ht="18.75" customHeight="1">
      <c r="B12" s="911" t="s">
        <v>642</v>
      </c>
      <c r="C12" s="66"/>
      <c r="D12" s="66"/>
      <c r="E12" s="66"/>
      <c r="F12" s="66"/>
      <c r="G12" s="66"/>
      <c r="H12" s="58" t="s">
        <v>26</v>
      </c>
      <c r="I12" s="62"/>
      <c r="J12" s="1339" t="str">
        <f>UPPER(name)</f>
        <v>0</v>
      </c>
      <c r="K12" s="1351"/>
      <c r="L12" s="1351"/>
      <c r="M12" s="1351"/>
      <c r="N12" s="1351"/>
      <c r="O12" s="1351"/>
      <c r="P12" s="1351"/>
      <c r="Q12" s="1351"/>
      <c r="R12" s="1351"/>
      <c r="S12" s="1351"/>
      <c r="T12" s="1351"/>
      <c r="U12" s="1351"/>
      <c r="V12" s="1351"/>
      <c r="W12" s="1351"/>
      <c r="X12" s="1351"/>
      <c r="Y12" s="1351"/>
      <c r="Z12" s="1351"/>
      <c r="AA12" s="1351"/>
      <c r="AB12" s="1351"/>
      <c r="AC12" s="1351"/>
      <c r="AD12" s="1351"/>
      <c r="AE12" s="1351"/>
      <c r="AF12" s="1351"/>
      <c r="AG12" s="1351"/>
      <c r="AH12" s="1351"/>
      <c r="AI12" s="1351"/>
      <c r="AJ12" s="1351"/>
      <c r="AK12" s="1351"/>
      <c r="AL12" s="1351"/>
      <c r="AM12" s="1351"/>
      <c r="AN12" s="47" t="str">
        <f>name31</f>
        <v> </v>
      </c>
      <c r="AO12" s="11" t="str">
        <f>name32</f>
        <v> </v>
      </c>
    </row>
    <row r="13" spans="2:40" ht="3" customHeight="1" thickBot="1">
      <c r="B13" s="80"/>
      <c r="C13" s="2"/>
      <c r="D13" s="2"/>
      <c r="E13" s="2"/>
      <c r="F13" s="2"/>
      <c r="G13" s="2"/>
      <c r="H13" s="2"/>
      <c r="I13" s="2"/>
      <c r="J13" s="2"/>
      <c r="K13" s="59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14"/>
    </row>
    <row r="14" spans="2:40" ht="9" customHeight="1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</row>
    <row r="15" spans="2:40" ht="15" customHeight="1">
      <c r="B15" s="916" t="s">
        <v>701</v>
      </c>
      <c r="C15" s="917"/>
      <c r="D15" s="917"/>
      <c r="E15" s="907"/>
      <c r="F15" s="917" t="s">
        <v>26</v>
      </c>
      <c r="G15" s="918" t="s">
        <v>1204</v>
      </c>
      <c r="H15" s="917"/>
      <c r="I15" s="917"/>
      <c r="J15" s="917"/>
      <c r="K15" s="917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/>
      <c r="AA15"/>
      <c r="AB15"/>
      <c r="AC15"/>
      <c r="AD15"/>
      <c r="AE15" s="11"/>
      <c r="AF15" s="11"/>
      <c r="AG15" s="11"/>
      <c r="AH15"/>
      <c r="AI15"/>
      <c r="AJ15"/>
      <c r="AK15"/>
      <c r="AL15"/>
      <c r="AM15"/>
      <c r="AN15"/>
    </row>
    <row r="16" spans="2:40" ht="4.5" customHeight="1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2:40" ht="15" customHeight="1">
      <c r="B17" s="1879" t="s">
        <v>702</v>
      </c>
      <c r="C17" s="1879" t="s">
        <v>703</v>
      </c>
      <c r="D17" s="1292"/>
      <c r="E17" s="1292"/>
      <c r="F17" s="1292"/>
      <c r="G17" s="1292"/>
      <c r="H17" s="1292"/>
      <c r="I17" s="1292"/>
      <c r="J17" s="1292"/>
      <c r="K17" s="1292"/>
      <c r="L17" s="1292"/>
      <c r="M17" s="1292"/>
      <c r="N17" s="1292"/>
      <c r="O17" s="1292"/>
      <c r="P17" s="1292"/>
      <c r="Q17" s="1880"/>
      <c r="R17" s="1292" t="s">
        <v>745</v>
      </c>
      <c r="S17" s="1292"/>
      <c r="T17" s="1292"/>
      <c r="U17" s="1292"/>
      <c r="V17" s="1292"/>
      <c r="W17" s="1292"/>
      <c r="X17" s="1292"/>
      <c r="Y17" s="1292"/>
      <c r="Z17" s="1292"/>
      <c r="AA17" s="1292"/>
      <c r="AB17" s="1292"/>
      <c r="AC17" s="1292"/>
      <c r="AD17" s="1879" t="s">
        <v>746</v>
      </c>
      <c r="AE17" s="1292"/>
      <c r="AF17" s="1292"/>
      <c r="AG17" s="1292"/>
      <c r="AH17" s="1292"/>
      <c r="AI17" s="1292"/>
      <c r="AJ17" s="1292"/>
      <c r="AK17" s="1292"/>
      <c r="AL17" s="1292"/>
      <c r="AM17" s="1292"/>
      <c r="AN17" s="1880"/>
    </row>
    <row r="18" spans="2:40" ht="12" customHeight="1">
      <c r="B18" s="1004"/>
      <c r="C18" s="1004"/>
      <c r="D18" s="982"/>
      <c r="E18" s="982"/>
      <c r="F18" s="982"/>
      <c r="G18" s="982"/>
      <c r="H18" s="982"/>
      <c r="I18" s="982"/>
      <c r="J18" s="982"/>
      <c r="K18" s="982"/>
      <c r="L18" s="982"/>
      <c r="M18" s="982"/>
      <c r="N18" s="982"/>
      <c r="O18" s="982"/>
      <c r="P18" s="982"/>
      <c r="Q18" s="1881"/>
      <c r="R18" s="982" t="s">
        <v>747</v>
      </c>
      <c r="S18" s="982"/>
      <c r="T18" s="982"/>
      <c r="U18" s="982"/>
      <c r="V18" s="982"/>
      <c r="W18" s="982"/>
      <c r="X18" s="982"/>
      <c r="Y18" s="982"/>
      <c r="Z18" s="982"/>
      <c r="AA18" s="982"/>
      <c r="AB18" s="982"/>
      <c r="AC18" s="982"/>
      <c r="AD18" s="1004"/>
      <c r="AE18" s="982"/>
      <c r="AF18" s="982"/>
      <c r="AG18" s="982"/>
      <c r="AH18" s="982"/>
      <c r="AI18" s="982"/>
      <c r="AJ18" s="982"/>
      <c r="AK18" s="982"/>
      <c r="AL18" s="982"/>
      <c r="AM18" s="982"/>
      <c r="AN18" s="1881"/>
    </row>
    <row r="19" spans="2:40" ht="12" customHeight="1">
      <c r="B19" s="1004"/>
      <c r="C19" s="1004"/>
      <c r="D19" s="982"/>
      <c r="E19" s="982"/>
      <c r="F19" s="982"/>
      <c r="G19" s="982"/>
      <c r="H19" s="982"/>
      <c r="I19" s="982"/>
      <c r="J19" s="982"/>
      <c r="K19" s="982"/>
      <c r="L19" s="982"/>
      <c r="M19" s="982"/>
      <c r="N19" s="982"/>
      <c r="O19" s="982"/>
      <c r="P19" s="982"/>
      <c r="Q19" s="1881"/>
      <c r="R19" s="1945" t="s">
        <v>705</v>
      </c>
      <c r="S19" s="1946"/>
      <c r="T19" s="1946"/>
      <c r="U19" s="1946"/>
      <c r="V19" s="1946"/>
      <c r="W19" s="1946"/>
      <c r="X19" s="1946"/>
      <c r="Y19" s="1946"/>
      <c r="Z19" s="1946"/>
      <c r="AA19" s="1946"/>
      <c r="AB19" s="1946"/>
      <c r="AC19" s="1947"/>
      <c r="AD19" s="1878" t="s">
        <v>705</v>
      </c>
      <c r="AE19" s="1948"/>
      <c r="AF19" s="1948"/>
      <c r="AG19" s="1948"/>
      <c r="AH19" s="1948"/>
      <c r="AI19" s="1948"/>
      <c r="AJ19" s="1948"/>
      <c r="AK19" s="1948"/>
      <c r="AL19" s="1948"/>
      <c r="AM19" s="1948"/>
      <c r="AN19" s="1949"/>
    </row>
    <row r="20" spans="2:40" s="16" customFormat="1" ht="12" customHeight="1">
      <c r="B20" s="176" t="s">
        <v>65</v>
      </c>
      <c r="C20" s="1909" t="s">
        <v>64</v>
      </c>
      <c r="D20" s="1910"/>
      <c r="E20" s="1910"/>
      <c r="F20" s="1910"/>
      <c r="G20" s="1910"/>
      <c r="H20" s="1910"/>
      <c r="I20" s="1910"/>
      <c r="J20" s="1910"/>
      <c r="K20" s="1910"/>
      <c r="L20" s="1910"/>
      <c r="M20" s="1910"/>
      <c r="N20" s="1910"/>
      <c r="O20" s="1910"/>
      <c r="P20" s="1910"/>
      <c r="Q20" s="1911"/>
      <c r="R20" s="1910" t="s">
        <v>66</v>
      </c>
      <c r="S20" s="1910"/>
      <c r="T20" s="1910"/>
      <c r="U20" s="1910"/>
      <c r="V20" s="1910"/>
      <c r="W20" s="1910"/>
      <c r="X20" s="1910"/>
      <c r="Y20" s="1910"/>
      <c r="Z20" s="1910"/>
      <c r="AA20" s="1910"/>
      <c r="AB20" s="1910"/>
      <c r="AC20" s="1910"/>
      <c r="AD20" s="1909" t="s">
        <v>67</v>
      </c>
      <c r="AE20" s="1910"/>
      <c r="AF20" s="1910"/>
      <c r="AG20" s="1910"/>
      <c r="AH20" s="1910"/>
      <c r="AI20" s="1910"/>
      <c r="AJ20" s="1910"/>
      <c r="AK20" s="1910"/>
      <c r="AL20" s="1910"/>
      <c r="AM20" s="1910"/>
      <c r="AN20" s="1911"/>
    </row>
    <row r="21" spans="2:40" ht="3" customHeight="1" hidden="1">
      <c r="B21" s="177"/>
      <c r="C21" s="177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3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7"/>
      <c r="AE21" s="172"/>
      <c r="AF21" s="172"/>
      <c r="AG21" s="172"/>
      <c r="AH21" s="172"/>
      <c r="AI21" s="172"/>
      <c r="AJ21" s="172"/>
      <c r="AK21" s="172"/>
      <c r="AL21" s="172"/>
      <c r="AM21" s="172"/>
      <c r="AN21" s="173"/>
    </row>
    <row r="22" spans="2:40" ht="15" customHeight="1">
      <c r="B22" s="1304" t="s">
        <v>386</v>
      </c>
      <c r="C22" s="1970" t="s">
        <v>748</v>
      </c>
      <c r="D22" s="1971"/>
      <c r="E22" s="1971"/>
      <c r="F22" s="1971"/>
      <c r="G22" s="1971"/>
      <c r="H22" s="1971"/>
      <c r="I22" s="1971"/>
      <c r="J22" s="1971"/>
      <c r="K22" s="1971"/>
      <c r="L22" s="1971"/>
      <c r="M22" s="1971"/>
      <c r="N22" s="1971"/>
      <c r="O22" s="1971"/>
      <c r="P22" s="1971"/>
      <c r="Q22" s="1972"/>
      <c r="R22" s="1869"/>
      <c r="S22" s="1870"/>
      <c r="T22" s="1870"/>
      <c r="U22" s="1870"/>
      <c r="V22" s="1870"/>
      <c r="W22" s="1870"/>
      <c r="X22" s="1870"/>
      <c r="Y22" s="1870"/>
      <c r="Z22" s="1870"/>
      <c r="AA22" s="1870"/>
      <c r="AB22" s="1870"/>
      <c r="AC22" s="262"/>
      <c r="AD22" s="1869"/>
      <c r="AE22" s="1870"/>
      <c r="AF22" s="1870"/>
      <c r="AG22" s="1870"/>
      <c r="AH22" s="1870"/>
      <c r="AI22" s="1870"/>
      <c r="AJ22" s="1870"/>
      <c r="AK22" s="1870"/>
      <c r="AL22" s="1870"/>
      <c r="AM22" s="1870"/>
      <c r="AN22" s="256"/>
    </row>
    <row r="23" spans="2:40" ht="15" customHeight="1">
      <c r="B23" s="1900"/>
      <c r="C23" s="1963"/>
      <c r="D23" s="1964"/>
      <c r="E23" s="1964"/>
      <c r="F23" s="1964"/>
      <c r="G23" s="1964"/>
      <c r="H23" s="1964"/>
      <c r="I23" s="1964"/>
      <c r="J23" s="1964"/>
      <c r="K23" s="1964"/>
      <c r="L23" s="1964"/>
      <c r="M23" s="1964"/>
      <c r="N23" s="1964"/>
      <c r="O23" s="1964"/>
      <c r="P23" s="1964"/>
      <c r="Q23" s="1965"/>
      <c r="R23" s="377"/>
      <c r="S23" s="1871"/>
      <c r="T23" s="1871"/>
      <c r="U23" s="1871"/>
      <c r="V23" s="1871"/>
      <c r="W23" s="1871"/>
      <c r="X23" s="1871"/>
      <c r="Y23" s="1871"/>
      <c r="Z23" s="1871"/>
      <c r="AA23" s="1871"/>
      <c r="AB23" s="1871"/>
      <c r="AC23" s="261"/>
      <c r="AD23" s="377"/>
      <c r="AE23" s="1871"/>
      <c r="AF23" s="1871"/>
      <c r="AG23" s="1871"/>
      <c r="AH23" s="1871"/>
      <c r="AI23" s="1871"/>
      <c r="AJ23" s="1871"/>
      <c r="AK23" s="1871"/>
      <c r="AL23" s="1871"/>
      <c r="AM23" s="1871"/>
      <c r="AN23" s="263"/>
    </row>
    <row r="24" spans="2:40" ht="3" customHeight="1">
      <c r="B24" s="141"/>
      <c r="C24" s="920"/>
      <c r="D24" s="921"/>
      <c r="E24" s="921"/>
      <c r="F24" s="921"/>
      <c r="G24" s="921"/>
      <c r="H24" s="921"/>
      <c r="I24" s="921"/>
      <c r="J24" s="921"/>
      <c r="K24" s="921"/>
      <c r="L24" s="921"/>
      <c r="M24" s="921"/>
      <c r="N24" s="921"/>
      <c r="O24" s="921"/>
      <c r="P24" s="921"/>
      <c r="Q24" s="922"/>
      <c r="R24" s="67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141"/>
      <c r="AE24" s="66"/>
      <c r="AF24" s="66"/>
      <c r="AG24" s="66"/>
      <c r="AH24" s="66"/>
      <c r="AI24" s="66"/>
      <c r="AJ24" s="66"/>
      <c r="AK24" s="66"/>
      <c r="AL24" s="66"/>
      <c r="AM24" s="66"/>
      <c r="AN24" s="144"/>
    </row>
    <row r="25" spans="2:40" ht="15" customHeight="1">
      <c r="B25" s="141" t="s">
        <v>387</v>
      </c>
      <c r="C25" s="1960" t="s">
        <v>749</v>
      </c>
      <c r="D25" s="1961"/>
      <c r="E25" s="1961"/>
      <c r="F25" s="1961"/>
      <c r="G25" s="1961"/>
      <c r="H25" s="1961"/>
      <c r="I25" s="1961"/>
      <c r="J25" s="1961"/>
      <c r="K25" s="1961"/>
      <c r="L25" s="1961"/>
      <c r="M25" s="1961"/>
      <c r="N25" s="1961"/>
      <c r="O25" s="1961"/>
      <c r="P25" s="1961"/>
      <c r="Q25" s="1962"/>
      <c r="R25" s="376"/>
      <c r="S25" s="246"/>
      <c r="T25" s="246"/>
      <c r="U25" s="246"/>
      <c r="V25" s="246"/>
      <c r="W25" s="246"/>
      <c r="X25" s="246"/>
      <c r="Y25" s="246"/>
      <c r="Z25" s="246"/>
      <c r="AA25" s="246"/>
      <c r="AB25" s="246"/>
      <c r="AC25" s="258"/>
      <c r="AD25" s="376"/>
      <c r="AE25" s="246"/>
      <c r="AF25" s="246"/>
      <c r="AG25" s="246"/>
      <c r="AH25" s="246"/>
      <c r="AI25" s="246"/>
      <c r="AJ25" s="246"/>
      <c r="AK25" s="246"/>
      <c r="AL25" s="246"/>
      <c r="AM25" s="246"/>
      <c r="AN25" s="243"/>
    </row>
    <row r="26" spans="2:40" ht="15.75" customHeight="1">
      <c r="B26" s="1293"/>
      <c r="C26" s="1963" t="s">
        <v>155</v>
      </c>
      <c r="D26" s="1964"/>
      <c r="E26" s="1964"/>
      <c r="F26" s="1964"/>
      <c r="G26" s="1964"/>
      <c r="H26" s="1964"/>
      <c r="I26" s="1964"/>
      <c r="J26" s="1964"/>
      <c r="K26" s="1964"/>
      <c r="L26" s="1964"/>
      <c r="M26" s="1964"/>
      <c r="N26" s="1964"/>
      <c r="O26" s="1964"/>
      <c r="P26" s="1964"/>
      <c r="Q26" s="1965"/>
      <c r="R26" s="377"/>
      <c r="S26" s="1871"/>
      <c r="T26" s="1871"/>
      <c r="U26" s="1871"/>
      <c r="V26" s="1871"/>
      <c r="W26" s="1871"/>
      <c r="X26" s="1871"/>
      <c r="Y26" s="1871"/>
      <c r="Z26" s="1871"/>
      <c r="AA26" s="1871"/>
      <c r="AB26" s="1871"/>
      <c r="AC26" s="261"/>
      <c r="AD26" s="377"/>
      <c r="AE26" s="1871"/>
      <c r="AF26" s="1871"/>
      <c r="AG26" s="1871"/>
      <c r="AH26" s="1871"/>
      <c r="AI26" s="1871"/>
      <c r="AJ26" s="1871"/>
      <c r="AK26" s="1871"/>
      <c r="AL26" s="1871"/>
      <c r="AM26" s="1871"/>
      <c r="AN26" s="263"/>
    </row>
    <row r="27" spans="2:40" ht="3" customHeight="1">
      <c r="B27" s="142"/>
      <c r="C27" s="1352"/>
      <c r="D27" s="1353"/>
      <c r="E27" s="1353"/>
      <c r="F27" s="1353"/>
      <c r="G27" s="1353"/>
      <c r="H27" s="1353"/>
      <c r="I27" s="1353"/>
      <c r="J27" s="1353"/>
      <c r="K27" s="1353"/>
      <c r="L27" s="1353"/>
      <c r="M27" s="1353"/>
      <c r="N27" s="1353"/>
      <c r="O27" s="1353"/>
      <c r="P27" s="1353"/>
      <c r="Q27" s="1354"/>
      <c r="R27" s="1307"/>
      <c r="S27" s="624"/>
      <c r="T27" s="624"/>
      <c r="U27" s="624"/>
      <c r="V27" s="624"/>
      <c r="W27" s="624"/>
      <c r="X27" s="624"/>
      <c r="Y27" s="624"/>
      <c r="Z27" s="624"/>
      <c r="AA27" s="624"/>
      <c r="AB27" s="624"/>
      <c r="AC27" s="624"/>
      <c r="AD27" s="1869"/>
      <c r="AE27" s="1870"/>
      <c r="AF27" s="1870"/>
      <c r="AG27" s="1870"/>
      <c r="AH27" s="1870"/>
      <c r="AI27" s="1870"/>
      <c r="AJ27" s="1870"/>
      <c r="AK27" s="1870"/>
      <c r="AL27" s="1870"/>
      <c r="AM27" s="1870"/>
      <c r="AN27" s="1356"/>
    </row>
    <row r="28" spans="2:40" ht="15" customHeight="1">
      <c r="B28" s="141" t="s">
        <v>388</v>
      </c>
      <c r="C28" s="1894" t="s">
        <v>1205</v>
      </c>
      <c r="D28" s="983"/>
      <c r="E28" s="983"/>
      <c r="F28" s="983"/>
      <c r="G28" s="983"/>
      <c r="H28" s="983"/>
      <c r="I28" s="983"/>
      <c r="J28" s="983"/>
      <c r="K28" s="983"/>
      <c r="L28" s="983"/>
      <c r="M28" s="983"/>
      <c r="N28" s="926"/>
      <c r="O28" s="926"/>
      <c r="P28" s="926"/>
      <c r="Q28" s="927"/>
      <c r="R28" s="37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58"/>
      <c r="AD28" s="376"/>
      <c r="AE28" s="246"/>
      <c r="AF28" s="246"/>
      <c r="AG28" s="246"/>
      <c r="AH28" s="246"/>
      <c r="AI28" s="246"/>
      <c r="AJ28" s="246"/>
      <c r="AK28" s="246"/>
      <c r="AL28" s="246"/>
      <c r="AM28" s="246"/>
      <c r="AN28" s="243"/>
    </row>
    <row r="29" spans="2:40" ht="8.25" customHeight="1">
      <c r="B29" s="1293"/>
      <c r="C29" s="1866"/>
      <c r="D29" s="1867"/>
      <c r="E29" s="1867"/>
      <c r="F29" s="1867"/>
      <c r="G29" s="1867"/>
      <c r="H29" s="1867"/>
      <c r="I29" s="1867"/>
      <c r="J29" s="1867"/>
      <c r="K29" s="1867"/>
      <c r="L29" s="1867"/>
      <c r="M29" s="1867"/>
      <c r="N29" s="1357"/>
      <c r="O29" s="1357"/>
      <c r="P29" s="1357"/>
      <c r="Q29" s="1358"/>
      <c r="R29" s="377"/>
      <c r="S29" s="1871"/>
      <c r="T29" s="1871"/>
      <c r="U29" s="1871"/>
      <c r="V29" s="1871"/>
      <c r="W29" s="1871"/>
      <c r="X29" s="1871"/>
      <c r="Y29" s="1871"/>
      <c r="Z29" s="1871"/>
      <c r="AA29" s="1871"/>
      <c r="AB29" s="1871"/>
      <c r="AC29" s="261"/>
      <c r="AD29" s="377"/>
      <c r="AE29" s="1871"/>
      <c r="AF29" s="1871"/>
      <c r="AG29" s="1871"/>
      <c r="AH29" s="1871"/>
      <c r="AI29" s="1871"/>
      <c r="AJ29" s="1871"/>
      <c r="AK29" s="1871"/>
      <c r="AL29" s="1871"/>
      <c r="AM29" s="1871"/>
      <c r="AN29" s="263"/>
    </row>
    <row r="30" spans="2:40" ht="3" customHeight="1">
      <c r="B30" s="142"/>
      <c r="C30" s="1359"/>
      <c r="D30" s="1360"/>
      <c r="E30" s="1360"/>
      <c r="F30" s="1360"/>
      <c r="G30" s="1360"/>
      <c r="H30" s="1360"/>
      <c r="I30" s="1360"/>
      <c r="J30" s="1360"/>
      <c r="K30" s="1360"/>
      <c r="L30" s="1360"/>
      <c r="M30" s="1360"/>
      <c r="N30" s="1360"/>
      <c r="O30" s="1360"/>
      <c r="P30" s="1360"/>
      <c r="Q30" s="1361"/>
      <c r="R30" s="1307"/>
      <c r="S30" s="624"/>
      <c r="T30" s="624"/>
      <c r="U30" s="624"/>
      <c r="V30" s="624"/>
      <c r="W30" s="624"/>
      <c r="X30" s="624"/>
      <c r="Y30" s="624"/>
      <c r="Z30" s="624"/>
      <c r="AA30" s="624"/>
      <c r="AB30" s="624"/>
      <c r="AC30" s="624"/>
      <c r="AD30" s="1869"/>
      <c r="AE30" s="1870"/>
      <c r="AF30" s="1870"/>
      <c r="AG30" s="1870"/>
      <c r="AH30" s="1870"/>
      <c r="AI30" s="1870"/>
      <c r="AJ30" s="1870"/>
      <c r="AK30" s="1870"/>
      <c r="AL30" s="1870"/>
      <c r="AM30" s="1870"/>
      <c r="AN30" s="1356"/>
    </row>
    <row r="31" spans="2:40" ht="15" customHeight="1">
      <c r="B31" s="141" t="s">
        <v>389</v>
      </c>
      <c r="C31" s="1975" t="s">
        <v>750</v>
      </c>
      <c r="D31" s="1976"/>
      <c r="E31" s="1976"/>
      <c r="F31" s="1976"/>
      <c r="G31" s="1976"/>
      <c r="H31" s="1976"/>
      <c r="I31" s="1976"/>
      <c r="J31" s="1976"/>
      <c r="K31" s="1976"/>
      <c r="L31" s="1976"/>
      <c r="M31" s="1976"/>
      <c r="N31" s="1976"/>
      <c r="O31" s="1976"/>
      <c r="P31" s="1976"/>
      <c r="Q31" s="1977"/>
      <c r="R31" s="37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58"/>
      <c r="AD31" s="376"/>
      <c r="AE31" s="246"/>
      <c r="AF31" s="246"/>
      <c r="AG31" s="246"/>
      <c r="AH31" s="246"/>
      <c r="AI31" s="246"/>
      <c r="AJ31" s="246"/>
      <c r="AK31" s="246"/>
      <c r="AL31" s="246"/>
      <c r="AM31" s="246"/>
      <c r="AN31" s="243"/>
    </row>
    <row r="32" spans="2:40" ht="9" customHeight="1">
      <c r="B32" s="1293"/>
      <c r="C32" s="1978"/>
      <c r="D32" s="1979"/>
      <c r="E32" s="1979"/>
      <c r="F32" s="1979"/>
      <c r="G32" s="1979"/>
      <c r="H32" s="1979"/>
      <c r="I32" s="1979"/>
      <c r="J32" s="1979"/>
      <c r="K32" s="1979"/>
      <c r="L32" s="1979"/>
      <c r="M32" s="1979"/>
      <c r="N32" s="1979"/>
      <c r="O32" s="1979"/>
      <c r="P32" s="1979"/>
      <c r="Q32" s="1980"/>
      <c r="R32" s="377"/>
      <c r="S32" s="1871"/>
      <c r="T32" s="1871"/>
      <c r="U32" s="1871"/>
      <c r="V32" s="1871"/>
      <c r="W32" s="1871"/>
      <c r="X32" s="1871"/>
      <c r="Y32" s="1871"/>
      <c r="Z32" s="1871"/>
      <c r="AA32" s="1871"/>
      <c r="AB32" s="1871"/>
      <c r="AC32" s="261"/>
      <c r="AD32" s="377"/>
      <c r="AE32" s="1871"/>
      <c r="AF32" s="1871"/>
      <c r="AG32" s="1871"/>
      <c r="AH32" s="1871"/>
      <c r="AI32" s="1871"/>
      <c r="AJ32" s="1871"/>
      <c r="AK32" s="1871"/>
      <c r="AL32" s="1871"/>
      <c r="AM32" s="1871"/>
      <c r="AN32" s="263"/>
    </row>
    <row r="33" spans="2:40" ht="3" customHeight="1">
      <c r="B33" s="142"/>
      <c r="C33" s="1352"/>
      <c r="D33" s="1353"/>
      <c r="E33" s="1353"/>
      <c r="F33" s="1353"/>
      <c r="G33" s="1353"/>
      <c r="H33" s="1353"/>
      <c r="I33" s="1353"/>
      <c r="J33" s="1353"/>
      <c r="K33" s="1353"/>
      <c r="L33" s="1353"/>
      <c r="M33" s="1353"/>
      <c r="N33" s="1353"/>
      <c r="O33" s="1353"/>
      <c r="P33" s="1353"/>
      <c r="Q33" s="1354"/>
      <c r="R33" s="1307"/>
      <c r="S33" s="624"/>
      <c r="T33" s="624"/>
      <c r="U33" s="624"/>
      <c r="V33" s="624"/>
      <c r="W33" s="624"/>
      <c r="X33" s="624"/>
      <c r="Y33" s="624"/>
      <c r="Z33" s="624"/>
      <c r="AA33" s="624"/>
      <c r="AB33" s="624"/>
      <c r="AC33" s="624"/>
      <c r="AD33" s="1869"/>
      <c r="AE33" s="1870"/>
      <c r="AF33" s="1870"/>
      <c r="AG33" s="1870"/>
      <c r="AH33" s="1870"/>
      <c r="AI33" s="1870"/>
      <c r="AJ33" s="1870"/>
      <c r="AK33" s="1870"/>
      <c r="AL33" s="1870"/>
      <c r="AM33" s="1870"/>
      <c r="AN33" s="1356"/>
    </row>
    <row r="34" spans="2:40" ht="15" customHeight="1">
      <c r="B34" s="141" t="s">
        <v>390</v>
      </c>
      <c r="C34" s="1872" t="s">
        <v>751</v>
      </c>
      <c r="D34" s="983"/>
      <c r="E34" s="983"/>
      <c r="F34" s="983"/>
      <c r="G34" s="983"/>
      <c r="H34" s="983"/>
      <c r="I34" s="983"/>
      <c r="J34" s="983"/>
      <c r="K34" s="983"/>
      <c r="L34" s="983"/>
      <c r="M34" s="983"/>
      <c r="N34" s="983"/>
      <c r="O34" s="983"/>
      <c r="P34" s="983"/>
      <c r="Q34" s="922"/>
      <c r="R34" s="376"/>
      <c r="S34" s="246"/>
      <c r="T34" s="246"/>
      <c r="U34" s="246"/>
      <c r="V34" s="246"/>
      <c r="W34" s="246"/>
      <c r="X34" s="246"/>
      <c r="Y34" s="246"/>
      <c r="Z34" s="246"/>
      <c r="AA34" s="246"/>
      <c r="AB34" s="246"/>
      <c r="AC34" s="258"/>
      <c r="AD34" s="376"/>
      <c r="AE34" s="246"/>
      <c r="AF34" s="246"/>
      <c r="AG34" s="246"/>
      <c r="AH34" s="246"/>
      <c r="AI34" s="246"/>
      <c r="AJ34" s="246"/>
      <c r="AK34" s="246"/>
      <c r="AL34" s="246"/>
      <c r="AM34" s="246"/>
      <c r="AN34" s="243"/>
    </row>
    <row r="35" spans="2:40" ht="15" customHeight="1">
      <c r="B35" s="1293"/>
      <c r="C35" s="1866"/>
      <c r="D35" s="1867"/>
      <c r="E35" s="1867"/>
      <c r="F35" s="1867"/>
      <c r="G35" s="1867"/>
      <c r="H35" s="1867"/>
      <c r="I35" s="1867"/>
      <c r="J35" s="1867"/>
      <c r="K35" s="1867"/>
      <c r="L35" s="1867"/>
      <c r="M35" s="1867"/>
      <c r="N35" s="1867"/>
      <c r="O35" s="1867"/>
      <c r="P35" s="1867"/>
      <c r="Q35" s="1362"/>
      <c r="R35" s="377"/>
      <c r="S35" s="1871"/>
      <c r="T35" s="1871"/>
      <c r="U35" s="1871"/>
      <c r="V35" s="1871"/>
      <c r="W35" s="1871"/>
      <c r="X35" s="1871"/>
      <c r="Y35" s="1871"/>
      <c r="Z35" s="1871"/>
      <c r="AA35" s="1871"/>
      <c r="AB35" s="1871"/>
      <c r="AC35" s="261"/>
      <c r="AD35" s="377"/>
      <c r="AE35" s="1871"/>
      <c r="AF35" s="1871"/>
      <c r="AG35" s="1871"/>
      <c r="AH35" s="1871"/>
      <c r="AI35" s="1871"/>
      <c r="AJ35" s="1871"/>
      <c r="AK35" s="1871"/>
      <c r="AL35" s="1871"/>
      <c r="AM35" s="1871"/>
      <c r="AN35" s="263"/>
    </row>
    <row r="36" spans="2:40" ht="3" customHeight="1">
      <c r="B36" s="141"/>
      <c r="C36" s="920"/>
      <c r="D36" s="921"/>
      <c r="E36" s="921"/>
      <c r="F36" s="921"/>
      <c r="G36" s="921"/>
      <c r="H36" s="921"/>
      <c r="I36" s="921"/>
      <c r="J36" s="921"/>
      <c r="K36" s="921"/>
      <c r="L36" s="921"/>
      <c r="M36" s="921"/>
      <c r="N36" s="921"/>
      <c r="O36" s="921"/>
      <c r="P36" s="921"/>
      <c r="Q36" s="922"/>
      <c r="R36" s="67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141"/>
      <c r="AE36" s="66"/>
      <c r="AF36" s="66"/>
      <c r="AG36" s="66"/>
      <c r="AH36" s="66"/>
      <c r="AI36" s="66"/>
      <c r="AJ36" s="66"/>
      <c r="AK36" s="66"/>
      <c r="AL36" s="66"/>
      <c r="AM36" s="66"/>
      <c r="AN36" s="144"/>
    </row>
    <row r="37" spans="2:40" ht="15" customHeight="1">
      <c r="B37" s="141" t="s">
        <v>391</v>
      </c>
      <c r="C37" s="1894" t="s">
        <v>752</v>
      </c>
      <c r="D37" s="983"/>
      <c r="E37" s="983"/>
      <c r="F37" s="983"/>
      <c r="G37" s="983"/>
      <c r="H37" s="983"/>
      <c r="I37" s="983"/>
      <c r="J37" s="983"/>
      <c r="K37" s="983"/>
      <c r="L37" s="983"/>
      <c r="M37" s="983"/>
      <c r="N37" s="983"/>
      <c r="O37" s="983"/>
      <c r="P37" s="983"/>
      <c r="Q37" s="1377"/>
      <c r="R37" s="376"/>
      <c r="S37" s="246"/>
      <c r="T37" s="246"/>
      <c r="U37" s="246"/>
      <c r="V37" s="246"/>
      <c r="W37" s="246"/>
      <c r="X37" s="246"/>
      <c r="Y37" s="246"/>
      <c r="Z37" s="246"/>
      <c r="AA37" s="246"/>
      <c r="AB37" s="246"/>
      <c r="AC37" s="258"/>
      <c r="AD37" s="376"/>
      <c r="AE37" s="246"/>
      <c r="AF37" s="246"/>
      <c r="AG37" s="246"/>
      <c r="AH37" s="246"/>
      <c r="AI37" s="246"/>
      <c r="AJ37" s="246"/>
      <c r="AK37" s="246"/>
      <c r="AL37" s="246"/>
      <c r="AM37" s="246"/>
      <c r="AN37" s="243"/>
    </row>
    <row r="38" spans="2:40" ht="6.75" customHeight="1">
      <c r="B38" s="1293"/>
      <c r="C38" s="1866"/>
      <c r="D38" s="1867"/>
      <c r="E38" s="1867"/>
      <c r="F38" s="1867"/>
      <c r="G38" s="1867"/>
      <c r="H38" s="1867"/>
      <c r="I38" s="1867"/>
      <c r="J38" s="1867"/>
      <c r="K38" s="1867"/>
      <c r="L38" s="1867"/>
      <c r="M38" s="1867"/>
      <c r="N38" s="1867"/>
      <c r="O38" s="1867"/>
      <c r="P38" s="1867"/>
      <c r="Q38" s="1868"/>
      <c r="R38" s="377"/>
      <c r="S38" s="1871"/>
      <c r="T38" s="1871"/>
      <c r="U38" s="1871"/>
      <c r="V38" s="1871"/>
      <c r="W38" s="1871"/>
      <c r="X38" s="1871"/>
      <c r="Y38" s="1871"/>
      <c r="Z38" s="1871"/>
      <c r="AA38" s="1871"/>
      <c r="AB38" s="1871"/>
      <c r="AC38" s="261"/>
      <c r="AD38" s="377"/>
      <c r="AE38" s="1871"/>
      <c r="AF38" s="1871"/>
      <c r="AG38" s="1871"/>
      <c r="AH38" s="1871"/>
      <c r="AI38" s="1871"/>
      <c r="AJ38" s="1871"/>
      <c r="AK38" s="1871"/>
      <c r="AL38" s="1871"/>
      <c r="AM38" s="1871"/>
      <c r="AN38" s="263"/>
    </row>
    <row r="39" spans="2:40" ht="3" customHeight="1">
      <c r="B39" s="141"/>
      <c r="C39" s="928"/>
      <c r="D39" s="926"/>
      <c r="E39" s="926"/>
      <c r="F39" s="926"/>
      <c r="G39" s="926"/>
      <c r="H39" s="926"/>
      <c r="I39" s="926"/>
      <c r="J39" s="926"/>
      <c r="K39" s="926"/>
      <c r="L39" s="926"/>
      <c r="M39" s="926"/>
      <c r="N39" s="926"/>
      <c r="O39" s="926"/>
      <c r="P39" s="926"/>
      <c r="Q39" s="927"/>
      <c r="R39" s="67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141"/>
      <c r="AE39" s="66"/>
      <c r="AF39" s="66"/>
      <c r="AG39" s="66"/>
      <c r="AH39" s="66"/>
      <c r="AI39" s="66"/>
      <c r="AJ39" s="66"/>
      <c r="AK39" s="66"/>
      <c r="AL39" s="66"/>
      <c r="AM39" s="66"/>
      <c r="AN39" s="144"/>
    </row>
    <row r="40" spans="2:40" ht="15" customHeight="1">
      <c r="B40" s="141" t="s">
        <v>394</v>
      </c>
      <c r="C40" s="1894" t="s">
        <v>1206</v>
      </c>
      <c r="D40" s="983"/>
      <c r="E40" s="983"/>
      <c r="F40" s="983"/>
      <c r="G40" s="983"/>
      <c r="H40" s="983"/>
      <c r="I40" s="983"/>
      <c r="J40" s="983"/>
      <c r="K40" s="983"/>
      <c r="L40" s="983"/>
      <c r="M40" s="983"/>
      <c r="N40" s="983"/>
      <c r="O40" s="983"/>
      <c r="P40" s="983"/>
      <c r="Q40" s="927"/>
      <c r="R40" s="376"/>
      <c r="S40" s="246"/>
      <c r="T40" s="246"/>
      <c r="U40" s="246"/>
      <c r="V40" s="246"/>
      <c r="W40" s="246"/>
      <c r="X40" s="246"/>
      <c r="Y40" s="246"/>
      <c r="Z40" s="246"/>
      <c r="AA40" s="246"/>
      <c r="AB40" s="246"/>
      <c r="AC40" s="258"/>
      <c r="AD40" s="2124"/>
      <c r="AE40" s="2125"/>
      <c r="AF40" s="2125"/>
      <c r="AG40" s="2125"/>
      <c r="AH40" s="2125"/>
      <c r="AI40" s="2125"/>
      <c r="AJ40" s="2125"/>
      <c r="AK40" s="2125"/>
      <c r="AL40" s="2125"/>
      <c r="AM40" s="2125"/>
      <c r="AN40" s="266"/>
    </row>
    <row r="41" spans="2:40" ht="10.5" customHeight="1">
      <c r="B41" s="141"/>
      <c r="C41" s="1872"/>
      <c r="D41" s="983"/>
      <c r="E41" s="983"/>
      <c r="F41" s="983"/>
      <c r="G41" s="983"/>
      <c r="H41" s="983"/>
      <c r="I41" s="983"/>
      <c r="J41" s="983"/>
      <c r="K41" s="983"/>
      <c r="L41" s="983"/>
      <c r="M41" s="983"/>
      <c r="N41" s="983"/>
      <c r="O41" s="983"/>
      <c r="P41" s="983"/>
      <c r="Q41" s="927"/>
      <c r="R41" s="376"/>
      <c r="S41" s="246"/>
      <c r="T41" s="246"/>
      <c r="U41" s="246"/>
      <c r="V41" s="246"/>
      <c r="W41" s="246"/>
      <c r="X41" s="246"/>
      <c r="Y41" s="246"/>
      <c r="Z41" s="246"/>
      <c r="AA41" s="246"/>
      <c r="AB41" s="246"/>
      <c r="AC41" s="258"/>
      <c r="AD41" s="2124"/>
      <c r="AE41" s="2125"/>
      <c r="AF41" s="2125"/>
      <c r="AG41" s="2125"/>
      <c r="AH41" s="2125"/>
      <c r="AI41" s="2125"/>
      <c r="AJ41" s="2125"/>
      <c r="AK41" s="2125"/>
      <c r="AL41" s="2125"/>
      <c r="AM41" s="2125"/>
      <c r="AN41" s="266"/>
    </row>
    <row r="42" spans="2:40" ht="3" customHeight="1">
      <c r="B42" s="141"/>
      <c r="C42" s="928"/>
      <c r="D42" s="926"/>
      <c r="E42" s="926"/>
      <c r="F42" s="926"/>
      <c r="G42" s="926"/>
      <c r="H42" s="926"/>
      <c r="I42" s="926"/>
      <c r="J42" s="926"/>
      <c r="K42" s="926"/>
      <c r="L42" s="926"/>
      <c r="M42" s="926"/>
      <c r="N42" s="926"/>
      <c r="O42" s="926"/>
      <c r="P42" s="926"/>
      <c r="Q42" s="927"/>
      <c r="R42" s="67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141"/>
      <c r="AE42" s="66"/>
      <c r="AF42" s="66"/>
      <c r="AG42" s="66"/>
      <c r="AH42" s="66"/>
      <c r="AI42" s="66"/>
      <c r="AJ42" s="66"/>
      <c r="AK42" s="66"/>
      <c r="AL42" s="66"/>
      <c r="AM42" s="66"/>
      <c r="AN42" s="144"/>
    </row>
    <row r="43" spans="2:40" ht="15" customHeight="1">
      <c r="B43" s="142" t="s">
        <v>395</v>
      </c>
      <c r="C43" s="1890" t="s">
        <v>753</v>
      </c>
      <c r="D43" s="1864"/>
      <c r="E43" s="1864"/>
      <c r="F43" s="1864"/>
      <c r="G43" s="1864"/>
      <c r="H43" s="1864"/>
      <c r="I43" s="1864"/>
      <c r="J43" s="1864"/>
      <c r="K43" s="1864"/>
      <c r="L43" s="1864"/>
      <c r="M43" s="1864"/>
      <c r="N43" s="1981"/>
      <c r="O43" s="1981"/>
      <c r="P43" s="1981"/>
      <c r="Q43" s="1982"/>
      <c r="R43" s="1869"/>
      <c r="S43" s="1870"/>
      <c r="T43" s="1870"/>
      <c r="U43" s="1870"/>
      <c r="V43" s="1870"/>
      <c r="W43" s="1870"/>
      <c r="X43" s="1870"/>
      <c r="Y43" s="1870"/>
      <c r="Z43" s="1870"/>
      <c r="AA43" s="1870"/>
      <c r="AB43" s="1870"/>
      <c r="AC43" s="262"/>
      <c r="AD43" s="1869"/>
      <c r="AE43" s="1870"/>
      <c r="AF43" s="1870"/>
      <c r="AG43" s="1870"/>
      <c r="AH43" s="1870"/>
      <c r="AI43" s="1870"/>
      <c r="AJ43" s="1870"/>
      <c r="AK43" s="1870"/>
      <c r="AL43" s="1870"/>
      <c r="AM43" s="1870"/>
      <c r="AN43" s="256"/>
    </row>
    <row r="44" spans="2:40" ht="8.25" customHeight="1">
      <c r="B44" s="1293"/>
      <c r="C44" s="1866"/>
      <c r="D44" s="1867"/>
      <c r="E44" s="1867"/>
      <c r="F44" s="1867"/>
      <c r="G44" s="1867"/>
      <c r="H44" s="1867"/>
      <c r="I44" s="1867"/>
      <c r="J44" s="1867"/>
      <c r="K44" s="1867"/>
      <c r="L44" s="1867"/>
      <c r="M44" s="1867"/>
      <c r="N44" s="1983"/>
      <c r="O44" s="1983"/>
      <c r="P44" s="1983"/>
      <c r="Q44" s="1984"/>
      <c r="R44" s="377"/>
      <c r="S44" s="1871"/>
      <c r="T44" s="1871"/>
      <c r="U44" s="1871"/>
      <c r="V44" s="1871"/>
      <c r="W44" s="1871"/>
      <c r="X44" s="1871"/>
      <c r="Y44" s="1871"/>
      <c r="Z44" s="1871"/>
      <c r="AA44" s="1871"/>
      <c r="AB44" s="1871"/>
      <c r="AC44" s="261"/>
      <c r="AD44" s="377"/>
      <c r="AE44" s="1871"/>
      <c r="AF44" s="1871"/>
      <c r="AG44" s="1871"/>
      <c r="AH44" s="1871"/>
      <c r="AI44" s="1871"/>
      <c r="AJ44" s="1871"/>
      <c r="AK44" s="1871"/>
      <c r="AL44" s="1871"/>
      <c r="AM44" s="1871"/>
      <c r="AN44" s="263"/>
    </row>
    <row r="45" spans="2:40" ht="3" customHeight="1">
      <c r="B45" s="142"/>
      <c r="C45" s="1352"/>
      <c r="D45" s="1353"/>
      <c r="E45" s="1353"/>
      <c r="F45" s="1353"/>
      <c r="G45" s="1353"/>
      <c r="H45" s="1353"/>
      <c r="I45" s="1353"/>
      <c r="J45" s="1353"/>
      <c r="K45" s="1353"/>
      <c r="L45" s="1353"/>
      <c r="M45" s="1353"/>
      <c r="N45" s="1353"/>
      <c r="O45" s="1363"/>
      <c r="P45" s="1363"/>
      <c r="Q45" s="1354"/>
      <c r="R45" s="1307"/>
      <c r="S45" s="624"/>
      <c r="T45" s="624"/>
      <c r="U45" s="624"/>
      <c r="V45" s="624"/>
      <c r="W45" s="624"/>
      <c r="X45" s="624"/>
      <c r="Y45" s="624"/>
      <c r="Z45" s="624"/>
      <c r="AA45" s="624"/>
      <c r="AB45" s="624"/>
      <c r="AC45" s="624"/>
      <c r="AD45" s="1869"/>
      <c r="AE45" s="1870"/>
      <c r="AF45" s="1870"/>
      <c r="AG45" s="1870"/>
      <c r="AH45" s="1870"/>
      <c r="AI45" s="1870"/>
      <c r="AJ45" s="1870"/>
      <c r="AK45" s="1870"/>
      <c r="AL45" s="1870"/>
      <c r="AM45" s="1870"/>
      <c r="AN45" s="1356"/>
    </row>
    <row r="46" spans="2:40" ht="15" customHeight="1">
      <c r="B46" s="141" t="s">
        <v>396</v>
      </c>
      <c r="C46" s="1960" t="s">
        <v>754</v>
      </c>
      <c r="D46" s="1961"/>
      <c r="E46" s="1961"/>
      <c r="F46" s="1961"/>
      <c r="G46" s="1961"/>
      <c r="H46" s="1961"/>
      <c r="I46" s="1961"/>
      <c r="J46" s="1961"/>
      <c r="K46" s="1961"/>
      <c r="L46" s="1961"/>
      <c r="M46" s="1961"/>
      <c r="N46" s="1961"/>
      <c r="O46" s="1961"/>
      <c r="P46" s="1961"/>
      <c r="Q46" s="1962"/>
      <c r="R46" s="376"/>
      <c r="S46" s="246"/>
      <c r="T46" s="246"/>
      <c r="U46" s="246"/>
      <c r="V46" s="246"/>
      <c r="W46" s="246"/>
      <c r="X46" s="246"/>
      <c r="Y46" s="246"/>
      <c r="Z46" s="246"/>
      <c r="AA46" s="246"/>
      <c r="AB46" s="246"/>
      <c r="AC46" s="258"/>
      <c r="AD46" s="376"/>
      <c r="AE46" s="246"/>
      <c r="AF46" s="246"/>
      <c r="AG46" s="246"/>
      <c r="AH46" s="246"/>
      <c r="AI46" s="246"/>
      <c r="AJ46" s="246"/>
      <c r="AK46" s="246"/>
      <c r="AL46" s="246"/>
      <c r="AM46" s="246"/>
      <c r="AN46" s="243"/>
    </row>
    <row r="47" spans="2:40" ht="15" customHeight="1">
      <c r="B47" s="1293"/>
      <c r="C47" s="1963"/>
      <c r="D47" s="1964"/>
      <c r="E47" s="1964"/>
      <c r="F47" s="1964"/>
      <c r="G47" s="1964"/>
      <c r="H47" s="1964"/>
      <c r="I47" s="1964"/>
      <c r="J47" s="1964"/>
      <c r="K47" s="1964"/>
      <c r="L47" s="1964"/>
      <c r="M47" s="1964"/>
      <c r="N47" s="1964"/>
      <c r="O47" s="1964"/>
      <c r="P47" s="1964"/>
      <c r="Q47" s="1965"/>
      <c r="R47" s="377"/>
      <c r="S47" s="1871"/>
      <c r="T47" s="1871"/>
      <c r="U47" s="1871"/>
      <c r="V47" s="1871"/>
      <c r="W47" s="1871"/>
      <c r="X47" s="1871"/>
      <c r="Y47" s="1871"/>
      <c r="Z47" s="1871"/>
      <c r="AA47" s="1871"/>
      <c r="AB47" s="1871"/>
      <c r="AC47" s="261"/>
      <c r="AD47" s="377"/>
      <c r="AE47" s="1871"/>
      <c r="AF47" s="1871"/>
      <c r="AG47" s="1871"/>
      <c r="AH47" s="1871"/>
      <c r="AI47" s="1871"/>
      <c r="AJ47" s="1871"/>
      <c r="AK47" s="1871"/>
      <c r="AL47" s="1871"/>
      <c r="AM47" s="1871"/>
      <c r="AN47" s="263"/>
    </row>
    <row r="48" spans="2:40" ht="3" customHeight="1">
      <c r="B48" s="142"/>
      <c r="C48" s="1352"/>
      <c r="D48" s="1353"/>
      <c r="E48" s="1353"/>
      <c r="F48" s="1353"/>
      <c r="G48" s="1353"/>
      <c r="H48" s="1353"/>
      <c r="I48" s="1353"/>
      <c r="J48" s="1353"/>
      <c r="K48" s="1353"/>
      <c r="L48" s="1353"/>
      <c r="M48" s="1353"/>
      <c r="N48" s="1353"/>
      <c r="O48" s="1363"/>
      <c r="P48" s="1363"/>
      <c r="Q48" s="1354"/>
      <c r="R48" s="1307"/>
      <c r="S48" s="624"/>
      <c r="T48" s="624"/>
      <c r="U48" s="624"/>
      <c r="V48" s="624"/>
      <c r="W48" s="624"/>
      <c r="X48" s="624"/>
      <c r="Y48" s="624"/>
      <c r="Z48" s="624"/>
      <c r="AA48" s="624"/>
      <c r="AB48" s="624"/>
      <c r="AC48" s="624"/>
      <c r="AD48" s="1869"/>
      <c r="AE48" s="1870"/>
      <c r="AF48" s="1870"/>
      <c r="AG48" s="1870"/>
      <c r="AH48" s="1870"/>
      <c r="AI48" s="1870"/>
      <c r="AJ48" s="1870"/>
      <c r="AK48" s="1870"/>
      <c r="AL48" s="1870"/>
      <c r="AM48" s="1870"/>
      <c r="AN48" s="1356"/>
    </row>
    <row r="49" spans="2:40" ht="15" customHeight="1">
      <c r="B49" s="141" t="s">
        <v>397</v>
      </c>
      <c r="C49" s="1985" t="s">
        <v>1207</v>
      </c>
      <c r="D49" s="1961"/>
      <c r="E49" s="1961"/>
      <c r="F49" s="1961"/>
      <c r="G49" s="1961"/>
      <c r="H49" s="1961"/>
      <c r="I49" s="1961"/>
      <c r="J49" s="1961"/>
      <c r="K49" s="1961"/>
      <c r="L49" s="1961"/>
      <c r="M49" s="1961"/>
      <c r="N49" s="1961"/>
      <c r="O49" s="1961"/>
      <c r="P49" s="1961"/>
      <c r="Q49" s="1962"/>
      <c r="R49" s="376"/>
      <c r="S49" s="246"/>
      <c r="T49" s="246"/>
      <c r="U49" s="246"/>
      <c r="V49" s="246"/>
      <c r="W49" s="246"/>
      <c r="X49" s="246"/>
      <c r="Y49" s="246"/>
      <c r="Z49" s="246"/>
      <c r="AA49" s="246"/>
      <c r="AB49" s="246"/>
      <c r="AC49" s="258"/>
      <c r="AD49" s="376"/>
      <c r="AE49" s="246"/>
      <c r="AF49" s="246"/>
      <c r="AG49" s="246"/>
      <c r="AH49" s="246"/>
      <c r="AI49" s="246"/>
      <c r="AJ49" s="246"/>
      <c r="AK49" s="246"/>
      <c r="AL49" s="246"/>
      <c r="AM49" s="246"/>
      <c r="AN49" s="243"/>
    </row>
    <row r="50" spans="2:40" ht="15" customHeight="1">
      <c r="B50" s="1293"/>
      <c r="C50" s="1963"/>
      <c r="D50" s="1964"/>
      <c r="E50" s="1964"/>
      <c r="F50" s="1964"/>
      <c r="G50" s="1964"/>
      <c r="H50" s="1964"/>
      <c r="I50" s="1964"/>
      <c r="J50" s="1964"/>
      <c r="K50" s="1964"/>
      <c r="L50" s="1964"/>
      <c r="M50" s="1964"/>
      <c r="N50" s="1964"/>
      <c r="O50" s="1964"/>
      <c r="P50" s="1964"/>
      <c r="Q50" s="1965"/>
      <c r="R50" s="377"/>
      <c r="S50" s="1871"/>
      <c r="T50" s="1871"/>
      <c r="U50" s="1871"/>
      <c r="V50" s="1871"/>
      <c r="W50" s="1871"/>
      <c r="X50" s="1871"/>
      <c r="Y50" s="1871"/>
      <c r="Z50" s="1871"/>
      <c r="AA50" s="1871"/>
      <c r="AB50" s="1871"/>
      <c r="AC50" s="261"/>
      <c r="AD50" s="377"/>
      <c r="AE50" s="1871"/>
      <c r="AF50" s="1871"/>
      <c r="AG50" s="1871"/>
      <c r="AH50" s="1871"/>
      <c r="AI50" s="1871"/>
      <c r="AJ50" s="1871"/>
      <c r="AK50" s="1871"/>
      <c r="AL50" s="1871"/>
      <c r="AM50" s="1871"/>
      <c r="AN50" s="263"/>
    </row>
    <row r="51" spans="2:40" ht="3" customHeight="1">
      <c r="B51" s="142"/>
      <c r="C51" s="1352"/>
      <c r="D51" s="1353"/>
      <c r="E51" s="1353"/>
      <c r="F51" s="1353"/>
      <c r="G51" s="1353"/>
      <c r="H51" s="1353"/>
      <c r="I51" s="1353"/>
      <c r="J51" s="1353"/>
      <c r="K51" s="1353"/>
      <c r="L51" s="1353"/>
      <c r="M51" s="1353"/>
      <c r="N51" s="1353"/>
      <c r="O51" s="1363"/>
      <c r="P51" s="1363"/>
      <c r="Q51" s="1354"/>
      <c r="R51" s="1388"/>
      <c r="S51" s="1389"/>
      <c r="T51" s="1389"/>
      <c r="U51" s="1389"/>
      <c r="V51" s="1389"/>
      <c r="W51" s="1389"/>
      <c r="X51" s="1389"/>
      <c r="Y51" s="1389"/>
      <c r="Z51" s="1389"/>
      <c r="AA51" s="1389"/>
      <c r="AB51" s="1389"/>
      <c r="AC51" s="1389"/>
      <c r="AD51" s="2126"/>
      <c r="AE51" s="2127"/>
      <c r="AF51" s="2127"/>
      <c r="AG51" s="2127"/>
      <c r="AH51" s="2127"/>
      <c r="AI51" s="2127"/>
      <c r="AJ51" s="2127"/>
      <c r="AK51" s="2127"/>
      <c r="AL51" s="2127"/>
      <c r="AM51" s="2127"/>
      <c r="AN51" s="1366"/>
    </row>
    <row r="52" spans="2:40" ht="15" customHeight="1">
      <c r="B52" s="141" t="s">
        <v>398</v>
      </c>
      <c r="C52" s="1960" t="s">
        <v>755</v>
      </c>
      <c r="D52" s="1961"/>
      <c r="E52" s="1961"/>
      <c r="F52" s="1961"/>
      <c r="G52" s="1961"/>
      <c r="H52" s="1961"/>
      <c r="I52" s="1961"/>
      <c r="J52" s="1961"/>
      <c r="K52" s="1961"/>
      <c r="L52" s="1961"/>
      <c r="M52" s="1961"/>
      <c r="N52" s="1961"/>
      <c r="O52" s="1961"/>
      <c r="P52" s="1961"/>
      <c r="Q52" s="1962"/>
      <c r="R52" s="2128"/>
      <c r="S52" s="2129"/>
      <c r="T52" s="2129"/>
      <c r="U52" s="2129"/>
      <c r="V52" s="2129"/>
      <c r="W52" s="2129"/>
      <c r="X52" s="2129"/>
      <c r="Y52" s="2129"/>
      <c r="Z52" s="2129"/>
      <c r="AA52" s="2129"/>
      <c r="AB52" s="2129"/>
      <c r="AC52" s="579"/>
      <c r="AD52" s="2128"/>
      <c r="AE52" s="2129"/>
      <c r="AF52" s="2129"/>
      <c r="AG52" s="2129"/>
      <c r="AH52" s="2129"/>
      <c r="AI52" s="2129"/>
      <c r="AJ52" s="2129"/>
      <c r="AK52" s="2129"/>
      <c r="AL52" s="2129"/>
      <c r="AM52" s="2129"/>
      <c r="AN52" s="580"/>
    </row>
    <row r="53" spans="2:40" ht="7.5" customHeight="1">
      <c r="B53" s="1293"/>
      <c r="C53" s="1963"/>
      <c r="D53" s="1964"/>
      <c r="E53" s="1964"/>
      <c r="F53" s="1964"/>
      <c r="G53" s="1964"/>
      <c r="H53" s="1964"/>
      <c r="I53" s="1964"/>
      <c r="J53" s="1964"/>
      <c r="K53" s="1964"/>
      <c r="L53" s="1964"/>
      <c r="M53" s="1964"/>
      <c r="N53" s="1964"/>
      <c r="O53" s="1964"/>
      <c r="P53" s="1964"/>
      <c r="Q53" s="1965"/>
      <c r="R53" s="2130"/>
      <c r="S53" s="2131"/>
      <c r="T53" s="2131"/>
      <c r="U53" s="2131"/>
      <c r="V53" s="2131"/>
      <c r="W53" s="2131"/>
      <c r="X53" s="2131"/>
      <c r="Y53" s="2131"/>
      <c r="Z53" s="2131"/>
      <c r="AA53" s="2131"/>
      <c r="AB53" s="2131"/>
      <c r="AC53" s="1390"/>
      <c r="AD53" s="2130"/>
      <c r="AE53" s="2131"/>
      <c r="AF53" s="2131"/>
      <c r="AG53" s="2131"/>
      <c r="AH53" s="2131"/>
      <c r="AI53" s="2131"/>
      <c r="AJ53" s="2131"/>
      <c r="AK53" s="2131"/>
      <c r="AL53" s="2131"/>
      <c r="AM53" s="2131"/>
      <c r="AN53" s="1368"/>
    </row>
    <row r="54" spans="2:40" ht="3" customHeight="1">
      <c r="B54" s="142"/>
      <c r="C54" s="1352"/>
      <c r="D54" s="1353"/>
      <c r="E54" s="1353"/>
      <c r="F54" s="1353"/>
      <c r="G54" s="1353"/>
      <c r="H54" s="1353"/>
      <c r="I54" s="1353"/>
      <c r="J54" s="1353"/>
      <c r="K54" s="1353"/>
      <c r="L54" s="1353"/>
      <c r="M54" s="1353"/>
      <c r="N54" s="1353"/>
      <c r="O54" s="1363"/>
      <c r="P54" s="1363"/>
      <c r="Q54" s="1354"/>
      <c r="R54" s="1307"/>
      <c r="S54" s="624"/>
      <c r="T54" s="624"/>
      <c r="U54" s="624"/>
      <c r="V54" s="624"/>
      <c r="W54" s="624"/>
      <c r="X54" s="624"/>
      <c r="Y54" s="624"/>
      <c r="Z54" s="624"/>
      <c r="AA54" s="624"/>
      <c r="AB54" s="624"/>
      <c r="AC54" s="624"/>
      <c r="AD54" s="1869"/>
      <c r="AE54" s="1870"/>
      <c r="AF54" s="1870"/>
      <c r="AG54" s="1870"/>
      <c r="AH54" s="1870"/>
      <c r="AI54" s="1870"/>
      <c r="AJ54" s="1870"/>
      <c r="AK54" s="1870"/>
      <c r="AL54" s="1870"/>
      <c r="AM54" s="1870"/>
      <c r="AN54" s="1356"/>
    </row>
    <row r="55" spans="2:40" ht="15" customHeight="1">
      <c r="B55" s="141" t="s">
        <v>399</v>
      </c>
      <c r="C55" s="1960" t="s">
        <v>756</v>
      </c>
      <c r="D55" s="1961"/>
      <c r="E55" s="1961"/>
      <c r="F55" s="1961"/>
      <c r="G55" s="1961"/>
      <c r="H55" s="1961"/>
      <c r="I55" s="1961"/>
      <c r="J55" s="1961"/>
      <c r="K55" s="1961"/>
      <c r="L55" s="1961"/>
      <c r="M55" s="1961"/>
      <c r="N55" s="1961"/>
      <c r="O55" s="1961"/>
      <c r="P55" s="1961"/>
      <c r="Q55" s="1962"/>
      <c r="R55" s="376"/>
      <c r="S55" s="246"/>
      <c r="T55" s="246"/>
      <c r="U55" s="246"/>
      <c r="V55" s="246"/>
      <c r="W55" s="246"/>
      <c r="X55" s="246"/>
      <c r="Y55" s="246"/>
      <c r="Z55" s="246"/>
      <c r="AA55" s="246"/>
      <c r="AB55" s="246"/>
      <c r="AC55" s="258"/>
      <c r="AD55" s="376"/>
      <c r="AE55" s="246"/>
      <c r="AF55" s="246"/>
      <c r="AG55" s="246"/>
      <c r="AH55" s="246"/>
      <c r="AI55" s="246"/>
      <c r="AJ55" s="246"/>
      <c r="AK55" s="246"/>
      <c r="AL55" s="246"/>
      <c r="AM55" s="246"/>
      <c r="AN55" s="243"/>
    </row>
    <row r="56" spans="2:40" ht="9" customHeight="1">
      <c r="B56" s="1293"/>
      <c r="C56" s="1963"/>
      <c r="D56" s="1964"/>
      <c r="E56" s="1964"/>
      <c r="F56" s="1964"/>
      <c r="G56" s="1964"/>
      <c r="H56" s="1964"/>
      <c r="I56" s="1964"/>
      <c r="J56" s="1964"/>
      <c r="K56" s="1964"/>
      <c r="L56" s="1964"/>
      <c r="M56" s="1964"/>
      <c r="N56" s="1964"/>
      <c r="O56" s="1964"/>
      <c r="P56" s="1964"/>
      <c r="Q56" s="1965"/>
      <c r="R56" s="377"/>
      <c r="S56" s="1871"/>
      <c r="T56" s="1871"/>
      <c r="U56" s="1871"/>
      <c r="V56" s="1871"/>
      <c r="W56" s="1871"/>
      <c r="X56" s="1871"/>
      <c r="Y56" s="1871"/>
      <c r="Z56" s="1871"/>
      <c r="AA56" s="1871"/>
      <c r="AB56" s="1871"/>
      <c r="AC56" s="261"/>
      <c r="AD56" s="377"/>
      <c r="AE56" s="1871"/>
      <c r="AF56" s="1871"/>
      <c r="AG56" s="1871"/>
      <c r="AH56" s="1871"/>
      <c r="AI56" s="1871"/>
      <c r="AJ56" s="1871"/>
      <c r="AK56" s="1871"/>
      <c r="AL56" s="1871"/>
      <c r="AM56" s="1871"/>
      <c r="AN56" s="263"/>
    </row>
    <row r="57" spans="2:40" ht="3" customHeight="1">
      <c r="B57" s="307"/>
      <c r="C57" s="928"/>
      <c r="D57" s="926"/>
      <c r="E57" s="926"/>
      <c r="F57" s="926"/>
      <c r="G57" s="926"/>
      <c r="H57" s="926"/>
      <c r="I57" s="926"/>
      <c r="J57" s="921"/>
      <c r="K57" s="921"/>
      <c r="L57" s="921"/>
      <c r="M57" s="921"/>
      <c r="N57" s="921"/>
      <c r="O57" s="921"/>
      <c r="P57" s="921"/>
      <c r="Q57" s="922"/>
      <c r="R57" s="67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141"/>
      <c r="AE57" s="66"/>
      <c r="AF57" s="66"/>
      <c r="AG57" s="66"/>
      <c r="AH57" s="66"/>
      <c r="AI57" s="66"/>
      <c r="AJ57" s="66"/>
      <c r="AK57" s="66"/>
      <c r="AL57" s="66"/>
      <c r="AM57" s="66"/>
      <c r="AN57" s="144"/>
    </row>
    <row r="58" spans="2:40" ht="15" customHeight="1">
      <c r="B58" s="1294" t="s">
        <v>400</v>
      </c>
      <c r="C58" s="1894" t="s">
        <v>757</v>
      </c>
      <c r="D58" s="983"/>
      <c r="E58" s="983"/>
      <c r="F58" s="983"/>
      <c r="G58" s="983"/>
      <c r="H58" s="983"/>
      <c r="I58" s="983"/>
      <c r="J58" s="983"/>
      <c r="K58" s="983"/>
      <c r="L58" s="983"/>
      <c r="M58" s="983"/>
      <c r="N58" s="983"/>
      <c r="O58" s="983"/>
      <c r="P58" s="983"/>
      <c r="Q58" s="1377"/>
      <c r="R58" s="376"/>
      <c r="S58" s="246"/>
      <c r="T58" s="246"/>
      <c r="U58" s="246"/>
      <c r="V58" s="246"/>
      <c r="W58" s="246"/>
      <c r="X58" s="246"/>
      <c r="Y58" s="246"/>
      <c r="Z58" s="246"/>
      <c r="AA58" s="246"/>
      <c r="AB58" s="246"/>
      <c r="AC58" s="258"/>
      <c r="AD58" s="376"/>
      <c r="AE58" s="246"/>
      <c r="AF58" s="246"/>
      <c r="AG58" s="246"/>
      <c r="AH58" s="246"/>
      <c r="AI58" s="246"/>
      <c r="AJ58" s="246"/>
      <c r="AK58" s="246"/>
      <c r="AL58" s="246"/>
      <c r="AM58" s="246"/>
      <c r="AN58" s="243"/>
    </row>
    <row r="59" spans="2:40" ht="9" customHeight="1">
      <c r="B59" s="1900"/>
      <c r="C59" s="1866"/>
      <c r="D59" s="1867"/>
      <c r="E59" s="1867"/>
      <c r="F59" s="1867"/>
      <c r="G59" s="1867"/>
      <c r="H59" s="1867"/>
      <c r="I59" s="1867"/>
      <c r="J59" s="1867"/>
      <c r="K59" s="1867"/>
      <c r="L59" s="1867"/>
      <c r="M59" s="1867"/>
      <c r="N59" s="1867"/>
      <c r="O59" s="1867"/>
      <c r="P59" s="1867"/>
      <c r="Q59" s="1868"/>
      <c r="R59" s="377"/>
      <c r="S59" s="1871"/>
      <c r="T59" s="1871"/>
      <c r="U59" s="1871"/>
      <c r="V59" s="1871"/>
      <c r="W59" s="1871"/>
      <c r="X59" s="1871"/>
      <c r="Y59" s="1871"/>
      <c r="Z59" s="1871"/>
      <c r="AA59" s="1871"/>
      <c r="AB59" s="1871"/>
      <c r="AC59" s="261"/>
      <c r="AD59" s="377"/>
      <c r="AE59" s="1871"/>
      <c r="AF59" s="1871"/>
      <c r="AG59" s="1871"/>
      <c r="AH59" s="1871"/>
      <c r="AI59" s="1871"/>
      <c r="AJ59" s="1871"/>
      <c r="AK59" s="1871"/>
      <c r="AL59" s="1871"/>
      <c r="AM59" s="1871"/>
      <c r="AN59" s="263"/>
    </row>
    <row r="60" spans="2:40" ht="3" customHeight="1">
      <c r="B60" s="307"/>
      <c r="C60" s="930"/>
      <c r="D60" s="921"/>
      <c r="E60" s="921"/>
      <c r="F60" s="921"/>
      <c r="G60" s="921"/>
      <c r="H60" s="921"/>
      <c r="I60" s="921"/>
      <c r="J60" s="921"/>
      <c r="K60" s="921"/>
      <c r="L60" s="921"/>
      <c r="M60" s="921"/>
      <c r="N60" s="921"/>
      <c r="O60" s="921"/>
      <c r="P60" s="921"/>
      <c r="Q60" s="922"/>
      <c r="R60" s="267"/>
      <c r="S60" s="268"/>
      <c r="T60" s="268"/>
      <c r="U60" s="268"/>
      <c r="V60" s="268"/>
      <c r="W60" s="268"/>
      <c r="X60" s="268"/>
      <c r="Y60" s="268"/>
      <c r="Z60" s="268"/>
      <c r="AA60" s="268"/>
      <c r="AB60" s="268"/>
      <c r="AC60" s="268"/>
      <c r="AD60" s="269"/>
      <c r="AE60" s="66"/>
      <c r="AF60" s="66"/>
      <c r="AG60" s="66"/>
      <c r="AH60" s="66"/>
      <c r="AI60" s="66"/>
      <c r="AJ60" s="66"/>
      <c r="AK60" s="66"/>
      <c r="AL60" s="66"/>
      <c r="AM60" s="66"/>
      <c r="AN60" s="144"/>
    </row>
    <row r="61" spans="2:40" ht="15" customHeight="1">
      <c r="B61" s="141" t="s">
        <v>401</v>
      </c>
      <c r="C61" s="934" t="s">
        <v>1208</v>
      </c>
      <c r="D61" s="921"/>
      <c r="E61" s="921"/>
      <c r="F61" s="921"/>
      <c r="G61" s="921"/>
      <c r="H61" s="921"/>
      <c r="I61" s="921"/>
      <c r="J61" s="921"/>
      <c r="K61" s="921"/>
      <c r="L61" s="921"/>
      <c r="M61" s="921"/>
      <c r="N61" s="921"/>
      <c r="O61" s="921"/>
      <c r="P61" s="921"/>
      <c r="Q61" s="922"/>
      <c r="R61" s="376"/>
      <c r="S61" s="246"/>
      <c r="T61" s="246"/>
      <c r="U61" s="246"/>
      <c r="V61" s="246"/>
      <c r="W61" s="246"/>
      <c r="X61" s="246"/>
      <c r="Y61" s="246"/>
      <c r="Z61" s="246"/>
      <c r="AA61" s="246"/>
      <c r="AB61" s="246"/>
      <c r="AC61" s="258"/>
      <c r="AD61" s="376"/>
      <c r="AE61" s="246"/>
      <c r="AF61" s="246"/>
      <c r="AG61" s="246"/>
      <c r="AH61" s="246"/>
      <c r="AI61" s="246"/>
      <c r="AJ61" s="246"/>
      <c r="AK61" s="246"/>
      <c r="AL61" s="246"/>
      <c r="AM61" s="246"/>
      <c r="AN61" s="243"/>
    </row>
    <row r="62" spans="2:40" ht="15" customHeight="1">
      <c r="B62" s="141"/>
      <c r="C62" s="370"/>
      <c r="D62" s="219"/>
      <c r="E62" s="219"/>
      <c r="F62" s="219"/>
      <c r="G62" s="219"/>
      <c r="H62" s="2003"/>
      <c r="I62" s="2003"/>
      <c r="J62" s="2003"/>
      <c r="K62" s="2003"/>
      <c r="L62" s="2003"/>
      <c r="M62" s="2003"/>
      <c r="N62" s="2003"/>
      <c r="O62" s="2003"/>
      <c r="P62" s="2003"/>
      <c r="Q62" s="2004"/>
      <c r="R62" s="377"/>
      <c r="S62" s="1871"/>
      <c r="T62" s="1871"/>
      <c r="U62" s="1871"/>
      <c r="V62" s="1871"/>
      <c r="W62" s="1871"/>
      <c r="X62" s="1871"/>
      <c r="Y62" s="1871"/>
      <c r="Z62" s="1871"/>
      <c r="AA62" s="1871"/>
      <c r="AB62" s="1871"/>
      <c r="AC62" s="261"/>
      <c r="AD62" s="377"/>
      <c r="AE62" s="1871"/>
      <c r="AF62" s="1871"/>
      <c r="AG62" s="1871"/>
      <c r="AH62" s="1871"/>
      <c r="AI62" s="1871"/>
      <c r="AJ62" s="1871"/>
      <c r="AK62" s="1871"/>
      <c r="AL62" s="1871"/>
      <c r="AM62" s="1871"/>
      <c r="AN62" s="263"/>
    </row>
    <row r="63" spans="2:40" ht="3" customHeight="1">
      <c r="B63" s="178"/>
      <c r="C63" s="1879" t="s">
        <v>712</v>
      </c>
      <c r="D63" s="1292"/>
      <c r="E63" s="1292"/>
      <c r="F63" s="1292"/>
      <c r="G63" s="1292"/>
      <c r="H63" s="1292"/>
      <c r="I63" s="1292"/>
      <c r="J63" s="1292"/>
      <c r="K63" s="1292"/>
      <c r="L63" s="1292"/>
      <c r="M63" s="1292"/>
      <c r="N63" s="1292"/>
      <c r="O63" s="1292"/>
      <c r="P63" s="1292"/>
      <c r="Q63" s="1880"/>
      <c r="R63" s="581"/>
      <c r="S63" s="582"/>
      <c r="T63" s="582"/>
      <c r="U63" s="582"/>
      <c r="V63" s="582"/>
      <c r="W63" s="582"/>
      <c r="X63" s="582"/>
      <c r="Y63" s="582"/>
      <c r="Z63" s="582"/>
      <c r="AA63" s="582"/>
      <c r="AB63" s="142" t="s">
        <v>711</v>
      </c>
      <c r="AC63" s="1895"/>
      <c r="AD63" s="1869">
        <f>SUM(AD22:AM62)</f>
        <v>0</v>
      </c>
      <c r="AE63" s="1870"/>
      <c r="AF63" s="1870"/>
      <c r="AG63" s="1870"/>
      <c r="AH63" s="1870"/>
      <c r="AI63" s="1870"/>
      <c r="AJ63" s="1870"/>
      <c r="AK63" s="1870"/>
      <c r="AL63" s="1870"/>
      <c r="AM63" s="1870"/>
      <c r="AN63" s="256"/>
    </row>
    <row r="64" spans="2:40" ht="14.25" customHeight="1">
      <c r="B64" s="174"/>
      <c r="C64" s="1004"/>
      <c r="D64" s="982"/>
      <c r="E64" s="982"/>
      <c r="F64" s="982"/>
      <c r="G64" s="982"/>
      <c r="H64" s="982"/>
      <c r="I64" s="982"/>
      <c r="J64" s="982"/>
      <c r="K64" s="982"/>
      <c r="L64" s="982"/>
      <c r="M64" s="982"/>
      <c r="N64" s="982"/>
      <c r="O64" s="982"/>
      <c r="P64" s="982"/>
      <c r="Q64" s="1881"/>
      <c r="R64" s="583"/>
      <c r="S64" s="584"/>
      <c r="T64" s="585"/>
      <c r="U64" s="585"/>
      <c r="V64" s="585"/>
      <c r="W64" s="585"/>
      <c r="X64" s="585"/>
      <c r="Y64" s="585"/>
      <c r="Z64" s="585"/>
      <c r="AA64" s="585"/>
      <c r="AB64" s="141"/>
      <c r="AC64" s="297"/>
      <c r="AD64" s="376"/>
      <c r="AE64" s="246"/>
      <c r="AF64" s="246"/>
      <c r="AG64" s="246"/>
      <c r="AH64" s="246"/>
      <c r="AI64" s="246"/>
      <c r="AJ64" s="246"/>
      <c r="AK64" s="246"/>
      <c r="AL64" s="246"/>
      <c r="AM64" s="246"/>
      <c r="AN64" s="243"/>
    </row>
    <row r="65" spans="2:40" ht="3" customHeight="1">
      <c r="B65" s="171"/>
      <c r="C65" s="1897"/>
      <c r="D65" s="1898"/>
      <c r="E65" s="1898"/>
      <c r="F65" s="1898"/>
      <c r="G65" s="1898"/>
      <c r="H65" s="1898"/>
      <c r="I65" s="1898"/>
      <c r="J65" s="1898"/>
      <c r="K65" s="1898"/>
      <c r="L65" s="1898"/>
      <c r="M65" s="1898"/>
      <c r="N65" s="1898"/>
      <c r="O65" s="1898"/>
      <c r="P65" s="1898"/>
      <c r="Q65" s="1899"/>
      <c r="R65" s="586"/>
      <c r="S65" s="586"/>
      <c r="T65" s="587"/>
      <c r="U65" s="587"/>
      <c r="V65" s="587"/>
      <c r="W65" s="587"/>
      <c r="X65" s="587"/>
      <c r="Y65" s="587"/>
      <c r="Z65" s="587"/>
      <c r="AA65" s="587"/>
      <c r="AB65" s="1293"/>
      <c r="AC65" s="1896"/>
      <c r="AD65" s="377"/>
      <c r="AE65" s="1871"/>
      <c r="AF65" s="1871"/>
      <c r="AG65" s="1871"/>
      <c r="AH65" s="1871"/>
      <c r="AI65" s="1871"/>
      <c r="AJ65" s="1871"/>
      <c r="AK65" s="1871"/>
      <c r="AL65" s="1871"/>
      <c r="AM65" s="1871"/>
      <c r="AN65" s="263"/>
    </row>
    <row r="66" spans="2:40" ht="8.15" customHeight="1">
      <c r="B66" s="164"/>
      <c r="C66" s="164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164"/>
      <c r="Z66" s="164"/>
      <c r="AA66" s="164"/>
      <c r="AB66" s="164"/>
      <c r="AC66" s="164"/>
      <c r="AD66" s="164"/>
      <c r="AE66" s="164"/>
      <c r="AF66" s="164"/>
      <c r="AG66" s="164"/>
      <c r="AH66" s="164"/>
      <c r="AI66" s="164"/>
      <c r="AJ66" s="164"/>
      <c r="AK66" s="164"/>
      <c r="AL66" s="164"/>
      <c r="AM66" s="164"/>
      <c r="AN66" s="164"/>
    </row>
    <row r="67" spans="2:40" ht="15" customHeight="1">
      <c r="B67" s="916" t="s">
        <v>714</v>
      </c>
      <c r="C67" s="916"/>
      <c r="D67" s="916"/>
      <c r="E67" s="915"/>
      <c r="F67" s="916" t="s">
        <v>26</v>
      </c>
      <c r="G67" s="916" t="s">
        <v>1209</v>
      </c>
      <c r="H67" s="916"/>
      <c r="I67" s="71"/>
      <c r="J67" s="71"/>
      <c r="K67" s="71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</row>
    <row r="68" spans="2:40" ht="4.5" customHeight="1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  <row r="69" spans="2:40" ht="12.75" customHeight="1">
      <c r="B69" s="1992" t="s">
        <v>702</v>
      </c>
      <c r="C69" s="1995" t="s">
        <v>977</v>
      </c>
      <c r="D69" s="1996"/>
      <c r="E69" s="1292" t="s">
        <v>758</v>
      </c>
      <c r="F69" s="1292"/>
      <c r="G69" s="1292"/>
      <c r="H69" s="1292"/>
      <c r="I69" s="1292"/>
      <c r="J69" s="1292"/>
      <c r="K69" s="1292"/>
      <c r="L69" s="1292"/>
      <c r="M69" s="1880"/>
      <c r="N69" s="1879" t="s">
        <v>759</v>
      </c>
      <c r="O69" s="1292"/>
      <c r="P69" s="1292"/>
      <c r="Q69" s="1880"/>
      <c r="R69" s="1917" t="s">
        <v>760</v>
      </c>
      <c r="S69" s="1295"/>
      <c r="T69" s="1295"/>
      <c r="U69" s="1295"/>
      <c r="V69" s="1295"/>
      <c r="W69" s="1295"/>
      <c r="X69" s="1295"/>
      <c r="Y69" s="1295"/>
      <c r="Z69" s="1295"/>
      <c r="AA69" s="1295"/>
      <c r="AB69" s="1295"/>
      <c r="AC69" s="1295"/>
      <c r="AD69" s="1879" t="s">
        <v>761</v>
      </c>
      <c r="AE69" s="1292"/>
      <c r="AF69" s="1292"/>
      <c r="AG69" s="1292"/>
      <c r="AH69" s="1292"/>
      <c r="AI69" s="1292"/>
      <c r="AJ69" s="1292"/>
      <c r="AK69" s="1292"/>
      <c r="AL69" s="1292"/>
      <c r="AM69" s="1292"/>
      <c r="AN69" s="1880"/>
    </row>
    <row r="70" spans="2:40" ht="12" customHeight="1">
      <c r="B70" s="1993"/>
      <c r="C70" s="1997"/>
      <c r="D70" s="1998"/>
      <c r="E70" s="982"/>
      <c r="F70" s="982"/>
      <c r="G70" s="982"/>
      <c r="H70" s="982"/>
      <c r="I70" s="982"/>
      <c r="J70" s="982"/>
      <c r="K70" s="982"/>
      <c r="L70" s="982"/>
      <c r="M70" s="1881"/>
      <c r="N70" s="1004"/>
      <c r="O70" s="982"/>
      <c r="P70" s="982"/>
      <c r="Q70" s="1881"/>
      <c r="R70" s="2001" t="s">
        <v>705</v>
      </c>
      <c r="S70" s="2002"/>
      <c r="T70" s="2002"/>
      <c r="U70" s="2002"/>
      <c r="V70" s="2002"/>
      <c r="W70" s="2002"/>
      <c r="X70" s="2002"/>
      <c r="Y70" s="2002"/>
      <c r="Z70" s="2002"/>
      <c r="AA70" s="2002"/>
      <c r="AB70" s="2002"/>
      <c r="AC70" s="2002"/>
      <c r="AD70" s="1004"/>
      <c r="AE70" s="982"/>
      <c r="AF70" s="982"/>
      <c r="AG70" s="982"/>
      <c r="AH70" s="982"/>
      <c r="AI70" s="982"/>
      <c r="AJ70" s="982"/>
      <c r="AK70" s="982"/>
      <c r="AL70" s="982"/>
      <c r="AM70" s="982"/>
      <c r="AN70" s="1881"/>
    </row>
    <row r="71" spans="2:40" ht="3" customHeight="1">
      <c r="B71" s="1994"/>
      <c r="C71" s="1999"/>
      <c r="D71" s="2000"/>
      <c r="E71" s="1898"/>
      <c r="F71" s="1898"/>
      <c r="G71" s="1898"/>
      <c r="H71" s="1898"/>
      <c r="I71" s="1898"/>
      <c r="J71" s="1898"/>
      <c r="K71" s="1898"/>
      <c r="L71" s="1898"/>
      <c r="M71" s="1899"/>
      <c r="N71" s="1897"/>
      <c r="O71" s="1898"/>
      <c r="P71" s="1898"/>
      <c r="Q71" s="1899"/>
      <c r="R71" s="936"/>
      <c r="S71" s="937"/>
      <c r="T71" s="937"/>
      <c r="U71" s="937"/>
      <c r="V71" s="937"/>
      <c r="W71" s="937"/>
      <c r="X71" s="937"/>
      <c r="Y71" s="937"/>
      <c r="Z71" s="937"/>
      <c r="AA71" s="937"/>
      <c r="AB71" s="937"/>
      <c r="AC71" s="937"/>
      <c r="AD71" s="1897"/>
      <c r="AE71" s="1898"/>
      <c r="AF71" s="1898"/>
      <c r="AG71" s="1898"/>
      <c r="AH71" s="1898"/>
      <c r="AI71" s="1898"/>
      <c r="AJ71" s="1898"/>
      <c r="AK71" s="1898"/>
      <c r="AL71" s="1898"/>
      <c r="AM71" s="1898"/>
      <c r="AN71" s="1899"/>
    </row>
    <row r="72" spans="2:40" s="68" customFormat="1" ht="11.25" customHeight="1">
      <c r="B72" s="145" t="s">
        <v>65</v>
      </c>
      <c r="C72" s="145" t="s">
        <v>64</v>
      </c>
      <c r="D72" s="1862"/>
      <c r="E72" s="145" t="s">
        <v>66</v>
      </c>
      <c r="F72" s="1861"/>
      <c r="G72" s="1861"/>
      <c r="H72" s="1861"/>
      <c r="I72" s="1861"/>
      <c r="J72" s="1861"/>
      <c r="K72" s="1861"/>
      <c r="L72" s="1861"/>
      <c r="M72" s="1862"/>
      <c r="N72" s="1861" t="s">
        <v>67</v>
      </c>
      <c r="O72" s="1861"/>
      <c r="P72" s="1861"/>
      <c r="Q72" s="1861"/>
      <c r="R72" s="145" t="s">
        <v>68</v>
      </c>
      <c r="S72" s="1861"/>
      <c r="T72" s="1861"/>
      <c r="U72" s="1861"/>
      <c r="V72" s="1861"/>
      <c r="W72" s="1861"/>
      <c r="X72" s="1861"/>
      <c r="Y72" s="1861"/>
      <c r="Z72" s="1861"/>
      <c r="AA72" s="1861"/>
      <c r="AB72" s="1861"/>
      <c r="AC72" s="1861"/>
      <c r="AD72" s="168" t="s">
        <v>100</v>
      </c>
      <c r="AE72" s="1912"/>
      <c r="AF72" s="1912"/>
      <c r="AG72" s="1912"/>
      <c r="AH72" s="1912"/>
      <c r="AI72" s="1912"/>
      <c r="AJ72" s="1912"/>
      <c r="AK72" s="1912"/>
      <c r="AL72" s="1912"/>
      <c r="AM72" s="1912"/>
      <c r="AN72" s="1913"/>
    </row>
    <row r="73" spans="2:40" ht="18" customHeight="1">
      <c r="B73" s="1304" t="s">
        <v>386</v>
      </c>
      <c r="C73" s="2137"/>
      <c r="D73" s="2138"/>
      <c r="E73" s="2132" t="s">
        <v>1402</v>
      </c>
      <c r="F73" s="2132"/>
      <c r="G73" s="2132"/>
      <c r="H73" s="2132"/>
      <c r="I73" s="2132"/>
      <c r="J73" s="2132"/>
      <c r="K73" s="2132"/>
      <c r="L73" s="2132"/>
      <c r="M73" s="2133"/>
      <c r="N73" s="2134"/>
      <c r="O73" s="2135"/>
      <c r="P73" s="2135"/>
      <c r="Q73" s="2136"/>
      <c r="R73" s="2113">
        <f ca="1">'1770 S-II JP'!R88</f>
        <v>0</v>
      </c>
      <c r="S73" s="2114"/>
      <c r="T73" s="2114"/>
      <c r="U73" s="2114"/>
      <c r="V73" s="2114"/>
      <c r="W73" s="2114"/>
      <c r="X73" s="2114"/>
      <c r="Y73" s="2114"/>
      <c r="Z73" s="2114"/>
      <c r="AA73" s="2114"/>
      <c r="AB73" s="2114"/>
      <c r="AC73" s="2114"/>
      <c r="AD73" s="2017" t="str">
        <f>IF(dateofdeparture&gt;0,"既にインドネシア離任済","")</f>
        <v/>
      </c>
      <c r="AE73" s="2018"/>
      <c r="AF73" s="2018"/>
      <c r="AG73" s="2018"/>
      <c r="AH73" s="2018"/>
      <c r="AI73" s="2018"/>
      <c r="AJ73" s="2018"/>
      <c r="AK73" s="2018"/>
      <c r="AL73" s="2018"/>
      <c r="AM73" s="2018"/>
      <c r="AN73" s="2019"/>
    </row>
    <row r="74" spans="2:40" ht="18" customHeight="1">
      <c r="B74" s="1294"/>
      <c r="C74" s="763"/>
      <c r="D74" s="2139"/>
      <c r="E74" s="786"/>
      <c r="F74" s="786"/>
      <c r="G74" s="786"/>
      <c r="H74" s="786"/>
      <c r="I74" s="786"/>
      <c r="J74" s="786"/>
      <c r="K74" s="786"/>
      <c r="L74" s="786"/>
      <c r="M74" s="787"/>
      <c r="N74" s="1288"/>
      <c r="O74" s="1281"/>
      <c r="P74" s="1281"/>
      <c r="Q74" s="1289"/>
      <c r="R74" s="793"/>
      <c r="S74" s="794"/>
      <c r="T74" s="794"/>
      <c r="U74" s="794"/>
      <c r="V74" s="794"/>
      <c r="W74" s="794"/>
      <c r="X74" s="794"/>
      <c r="Y74" s="794"/>
      <c r="Z74" s="794"/>
      <c r="AA74" s="794"/>
      <c r="AB74" s="794"/>
      <c r="AC74" s="794"/>
      <c r="AD74" s="2020"/>
      <c r="AE74" s="2021"/>
      <c r="AF74" s="2021"/>
      <c r="AG74" s="2021"/>
      <c r="AH74" s="2021"/>
      <c r="AI74" s="2021"/>
      <c r="AJ74" s="2021"/>
      <c r="AK74" s="2021"/>
      <c r="AL74" s="2021"/>
      <c r="AM74" s="2021"/>
      <c r="AN74" s="2022"/>
    </row>
    <row r="75" spans="2:40" ht="3" customHeight="1">
      <c r="B75" s="141"/>
      <c r="C75" s="763"/>
      <c r="D75" s="760"/>
      <c r="E75" s="786"/>
      <c r="F75" s="786"/>
      <c r="G75" s="786"/>
      <c r="H75" s="786"/>
      <c r="I75" s="786"/>
      <c r="J75" s="786"/>
      <c r="K75" s="786"/>
      <c r="L75" s="786"/>
      <c r="M75" s="787"/>
      <c r="N75" s="1281"/>
      <c r="O75" s="1281"/>
      <c r="P75" s="1281"/>
      <c r="Q75" s="1281"/>
      <c r="R75" s="793"/>
      <c r="S75" s="794"/>
      <c r="T75" s="794"/>
      <c r="U75" s="794"/>
      <c r="V75" s="794"/>
      <c r="W75" s="794"/>
      <c r="X75" s="794"/>
      <c r="Y75" s="794"/>
      <c r="Z75" s="794"/>
      <c r="AA75" s="794"/>
      <c r="AB75" s="794"/>
      <c r="AC75" s="794"/>
      <c r="AD75" s="938"/>
      <c r="AE75" s="939"/>
      <c r="AF75" s="940"/>
      <c r="AG75" s="941"/>
      <c r="AH75" s="942"/>
      <c r="AI75" s="942"/>
      <c r="AJ75" s="942"/>
      <c r="AK75" s="942"/>
      <c r="AL75" s="942"/>
      <c r="AM75" s="942"/>
      <c r="AN75" s="925"/>
    </row>
    <row r="76" spans="2:42" ht="17.25" customHeight="1">
      <c r="B76" s="1304" t="s">
        <v>387</v>
      </c>
      <c r="C76" s="2137" t="str">
        <f ca="1">'Attachment JP'!B163</f>
        <v/>
      </c>
      <c r="D76" s="2138"/>
      <c r="E76" s="2144" t="str">
        <f ca="1">'Attachment JP'!D163</f>
        <v/>
      </c>
      <c r="F76" s="2132"/>
      <c r="G76" s="2132"/>
      <c r="H76" s="2132"/>
      <c r="I76" s="2132"/>
      <c r="J76" s="2132"/>
      <c r="K76" s="2132"/>
      <c r="L76" s="2132"/>
      <c r="M76" s="2133"/>
      <c r="N76" s="2134" t="str">
        <f ca="1">'Attachment JP'!O163</f>
        <v/>
      </c>
      <c r="O76" s="2135"/>
      <c r="P76" s="2135"/>
      <c r="Q76" s="2136"/>
      <c r="R76" s="2113" t="str">
        <f ca="1">'Attachment JP'!S163</f>
        <v/>
      </c>
      <c r="S76" s="2114"/>
      <c r="T76" s="2114"/>
      <c r="U76" s="2114"/>
      <c r="V76" s="2114"/>
      <c r="W76" s="2114"/>
      <c r="X76" s="2114"/>
      <c r="Y76" s="2114"/>
      <c r="Z76" s="2114"/>
      <c r="AA76" s="2114"/>
      <c r="AB76" s="2114"/>
      <c r="AC76" s="2115"/>
      <c r="AD76" s="2017" t="str">
        <f>IF(dateofdeparture&gt;0,"EPOのコピーを添付","")</f>
        <v/>
      </c>
      <c r="AE76" s="2018"/>
      <c r="AF76" s="2018"/>
      <c r="AG76" s="2018"/>
      <c r="AH76" s="2018"/>
      <c r="AI76" s="2018"/>
      <c r="AJ76" s="2018"/>
      <c r="AK76" s="2018"/>
      <c r="AL76" s="2018"/>
      <c r="AM76" s="2018"/>
      <c r="AN76" s="2019"/>
      <c r="AP76" s="1285" t="s">
        <v>1396</v>
      </c>
    </row>
    <row r="77" spans="2:42" ht="17.25" customHeight="1">
      <c r="B77" s="1294"/>
      <c r="C77" s="763"/>
      <c r="D77" s="2139"/>
      <c r="E77" s="2145"/>
      <c r="F77" s="786"/>
      <c r="G77" s="786"/>
      <c r="H77" s="786"/>
      <c r="I77" s="786"/>
      <c r="J77" s="786"/>
      <c r="K77" s="786"/>
      <c r="L77" s="786"/>
      <c r="M77" s="787"/>
      <c r="N77" s="1288"/>
      <c r="O77" s="1281"/>
      <c r="P77" s="1281"/>
      <c r="Q77" s="1289"/>
      <c r="R77" s="793"/>
      <c r="S77" s="794"/>
      <c r="T77" s="794"/>
      <c r="U77" s="794"/>
      <c r="V77" s="794"/>
      <c r="W77" s="794"/>
      <c r="X77" s="794"/>
      <c r="Y77" s="794"/>
      <c r="Z77" s="794"/>
      <c r="AA77" s="794"/>
      <c r="AB77" s="794"/>
      <c r="AC77" s="2116"/>
      <c r="AD77" s="2020"/>
      <c r="AE77" s="2021"/>
      <c r="AF77" s="2021"/>
      <c r="AG77" s="2021"/>
      <c r="AH77" s="2021"/>
      <c r="AI77" s="2021"/>
      <c r="AJ77" s="2021"/>
      <c r="AK77" s="2021"/>
      <c r="AL77" s="2021"/>
      <c r="AM77" s="2021"/>
      <c r="AN77" s="2022"/>
      <c r="AP77" s="1285" t="s">
        <v>1397</v>
      </c>
    </row>
    <row r="78" spans="2:40" ht="3" customHeight="1">
      <c r="B78" s="141"/>
      <c r="C78" s="763"/>
      <c r="D78" s="760"/>
      <c r="E78" s="786"/>
      <c r="F78" s="786"/>
      <c r="G78" s="786"/>
      <c r="H78" s="786"/>
      <c r="I78" s="786"/>
      <c r="J78" s="786"/>
      <c r="K78" s="786"/>
      <c r="L78" s="786"/>
      <c r="M78" s="787"/>
      <c r="N78" s="1281"/>
      <c r="O78" s="1281"/>
      <c r="P78" s="1281"/>
      <c r="Q78" s="1281"/>
      <c r="R78" s="793"/>
      <c r="S78" s="794"/>
      <c r="T78" s="794"/>
      <c r="U78" s="794"/>
      <c r="V78" s="794"/>
      <c r="W78" s="794"/>
      <c r="X78" s="794"/>
      <c r="Y78" s="794"/>
      <c r="Z78" s="794"/>
      <c r="AA78" s="794"/>
      <c r="AB78" s="794"/>
      <c r="AC78" s="794"/>
      <c r="AD78" s="780"/>
      <c r="AE78" s="781"/>
      <c r="AF78" s="782"/>
      <c r="AG78" s="783"/>
      <c r="AH78" s="784"/>
      <c r="AI78" s="784"/>
      <c r="AJ78" s="784"/>
      <c r="AK78" s="784"/>
      <c r="AL78" s="784"/>
      <c r="AM78" s="784"/>
      <c r="AN78" s="785"/>
    </row>
    <row r="79" spans="2:40" ht="18" customHeight="1">
      <c r="B79" s="1304" t="s">
        <v>388</v>
      </c>
      <c r="C79" s="2137" t="str">
        <f ca="1">'Attachment JP'!B164</f>
        <v/>
      </c>
      <c r="D79" s="2138"/>
      <c r="E79" s="2144" t="str">
        <f ca="1">'Attachment JP'!D164</f>
        <v/>
      </c>
      <c r="F79" s="2132"/>
      <c r="G79" s="2132"/>
      <c r="H79" s="2132"/>
      <c r="I79" s="2132"/>
      <c r="J79" s="2132"/>
      <c r="K79" s="2132"/>
      <c r="L79" s="2132"/>
      <c r="M79" s="2133"/>
      <c r="N79" s="2134" t="str">
        <f ca="1">'Attachment JP'!O164</f>
        <v/>
      </c>
      <c r="O79" s="2135"/>
      <c r="P79" s="2135"/>
      <c r="Q79" s="2136"/>
      <c r="R79" s="2113" t="str">
        <f ca="1">'Attachment JP'!S164</f>
        <v/>
      </c>
      <c r="S79" s="2114"/>
      <c r="T79" s="2114"/>
      <c r="U79" s="2114"/>
      <c r="V79" s="2114"/>
      <c r="W79" s="2114"/>
      <c r="X79" s="2114"/>
      <c r="Y79" s="2114"/>
      <c r="Z79" s="2114"/>
      <c r="AA79" s="2114"/>
      <c r="AB79" s="2114"/>
      <c r="AC79" s="2115"/>
      <c r="AD79" s="1391"/>
      <c r="AE79" s="1392"/>
      <c r="AF79" s="1393"/>
      <c r="AG79" s="2140"/>
      <c r="AH79" s="2140"/>
      <c r="AI79" s="2140"/>
      <c r="AJ79" s="2140"/>
      <c r="AK79" s="2140"/>
      <c r="AL79" s="2140"/>
      <c r="AM79" s="2140"/>
      <c r="AN79" s="2141"/>
    </row>
    <row r="80" spans="2:40" ht="18" customHeight="1">
      <c r="B80" s="1294"/>
      <c r="C80" s="763"/>
      <c r="D80" s="2139"/>
      <c r="E80" s="2145"/>
      <c r="F80" s="786"/>
      <c r="G80" s="786"/>
      <c r="H80" s="786"/>
      <c r="I80" s="786"/>
      <c r="J80" s="786"/>
      <c r="K80" s="786"/>
      <c r="L80" s="786"/>
      <c r="M80" s="787"/>
      <c r="N80" s="1288"/>
      <c r="O80" s="1281"/>
      <c r="P80" s="1281"/>
      <c r="Q80" s="1289"/>
      <c r="R80" s="793"/>
      <c r="S80" s="794"/>
      <c r="T80" s="794"/>
      <c r="U80" s="794"/>
      <c r="V80" s="794"/>
      <c r="W80" s="794"/>
      <c r="X80" s="794"/>
      <c r="Y80" s="794"/>
      <c r="Z80" s="794"/>
      <c r="AA80" s="794"/>
      <c r="AB80" s="794"/>
      <c r="AC80" s="2116"/>
      <c r="AD80" s="780"/>
      <c r="AE80" s="781"/>
      <c r="AF80" s="782"/>
      <c r="AG80" s="2142"/>
      <c r="AH80" s="2142"/>
      <c r="AI80" s="2142"/>
      <c r="AJ80" s="2142"/>
      <c r="AK80" s="2142"/>
      <c r="AL80" s="2142"/>
      <c r="AM80" s="2142"/>
      <c r="AN80" s="2143"/>
    </row>
    <row r="81" spans="2:40" ht="3" customHeight="1">
      <c r="B81" s="141"/>
      <c r="C81" s="763"/>
      <c r="D81" s="760"/>
      <c r="E81" s="786"/>
      <c r="F81" s="786"/>
      <c r="G81" s="786"/>
      <c r="H81" s="786"/>
      <c r="I81" s="786"/>
      <c r="J81" s="786"/>
      <c r="K81" s="786"/>
      <c r="L81" s="786"/>
      <c r="M81" s="787"/>
      <c r="N81" s="1281"/>
      <c r="O81" s="1281"/>
      <c r="P81" s="1281"/>
      <c r="Q81" s="1281"/>
      <c r="R81" s="793"/>
      <c r="S81" s="794"/>
      <c r="T81" s="794"/>
      <c r="U81" s="794"/>
      <c r="V81" s="794"/>
      <c r="W81" s="794"/>
      <c r="X81" s="794"/>
      <c r="Y81" s="794"/>
      <c r="Z81" s="794"/>
      <c r="AA81" s="794"/>
      <c r="AB81" s="794"/>
      <c r="AC81" s="794"/>
      <c r="AD81" s="780"/>
      <c r="AE81" s="781"/>
      <c r="AF81" s="782"/>
      <c r="AG81" s="783"/>
      <c r="AH81" s="784"/>
      <c r="AI81" s="784"/>
      <c r="AJ81" s="784"/>
      <c r="AK81" s="784"/>
      <c r="AL81" s="784"/>
      <c r="AM81" s="784"/>
      <c r="AN81" s="785"/>
    </row>
    <row r="82" spans="2:40" ht="18" customHeight="1">
      <c r="B82" s="1304" t="s">
        <v>389</v>
      </c>
      <c r="C82" s="2137" t="str">
        <f ca="1">'Attachment JP'!B165</f>
        <v/>
      </c>
      <c r="D82" s="2138"/>
      <c r="E82" s="2144" t="str">
        <f ca="1">'Attachment JP'!D165</f>
        <v/>
      </c>
      <c r="F82" s="2132"/>
      <c r="G82" s="2132"/>
      <c r="H82" s="2132"/>
      <c r="I82" s="2132"/>
      <c r="J82" s="2132"/>
      <c r="K82" s="2132"/>
      <c r="L82" s="2132"/>
      <c r="M82" s="2133"/>
      <c r="N82" s="2134" t="str">
        <f ca="1">'Attachment JP'!O165</f>
        <v/>
      </c>
      <c r="O82" s="2135"/>
      <c r="P82" s="2135"/>
      <c r="Q82" s="2136"/>
      <c r="R82" s="2113" t="str">
        <f ca="1">'Attachment JP'!S165</f>
        <v/>
      </c>
      <c r="S82" s="2114"/>
      <c r="T82" s="2114"/>
      <c r="U82" s="2114"/>
      <c r="V82" s="2114"/>
      <c r="W82" s="2114"/>
      <c r="X82" s="2114"/>
      <c r="Y82" s="2114"/>
      <c r="Z82" s="2114"/>
      <c r="AA82" s="2114"/>
      <c r="AB82" s="2114"/>
      <c r="AC82" s="2115"/>
      <c r="AD82" s="1391"/>
      <c r="AE82" s="1392"/>
      <c r="AF82" s="1393"/>
      <c r="AG82" s="2140"/>
      <c r="AH82" s="2140"/>
      <c r="AI82" s="2140"/>
      <c r="AJ82" s="2140"/>
      <c r="AK82" s="2140"/>
      <c r="AL82" s="2140"/>
      <c r="AM82" s="2140"/>
      <c r="AN82" s="2141"/>
    </row>
    <row r="83" spans="2:40" ht="18" customHeight="1">
      <c r="B83" s="1294"/>
      <c r="C83" s="763"/>
      <c r="D83" s="2139"/>
      <c r="E83" s="2145"/>
      <c r="F83" s="786"/>
      <c r="G83" s="786"/>
      <c r="H83" s="786"/>
      <c r="I83" s="786"/>
      <c r="J83" s="786"/>
      <c r="K83" s="786"/>
      <c r="L83" s="786"/>
      <c r="M83" s="787"/>
      <c r="N83" s="1288"/>
      <c r="O83" s="1281"/>
      <c r="P83" s="1281"/>
      <c r="Q83" s="1289"/>
      <c r="R83" s="793"/>
      <c r="S83" s="794"/>
      <c r="T83" s="794"/>
      <c r="U83" s="794"/>
      <c r="V83" s="794"/>
      <c r="W83" s="794"/>
      <c r="X83" s="794"/>
      <c r="Y83" s="794"/>
      <c r="Z83" s="794"/>
      <c r="AA83" s="794"/>
      <c r="AB83" s="794"/>
      <c r="AC83" s="2116"/>
      <c r="AD83" s="780"/>
      <c r="AE83" s="781"/>
      <c r="AF83" s="782"/>
      <c r="AG83" s="2142"/>
      <c r="AH83" s="2142"/>
      <c r="AI83" s="2142"/>
      <c r="AJ83" s="2142"/>
      <c r="AK83" s="2142"/>
      <c r="AL83" s="2142"/>
      <c r="AM83" s="2142"/>
      <c r="AN83" s="2143"/>
    </row>
    <row r="84" spans="2:40" ht="3" customHeight="1">
      <c r="B84" s="1294"/>
      <c r="C84" s="763"/>
      <c r="D84" s="760"/>
      <c r="E84" s="786"/>
      <c r="F84" s="786"/>
      <c r="G84" s="786"/>
      <c r="H84" s="786"/>
      <c r="I84" s="786"/>
      <c r="J84" s="786"/>
      <c r="K84" s="786"/>
      <c r="L84" s="786"/>
      <c r="M84" s="787"/>
      <c r="N84" s="1281"/>
      <c r="O84" s="1281"/>
      <c r="P84" s="1281"/>
      <c r="Q84" s="1281"/>
      <c r="R84" s="793"/>
      <c r="S84" s="794"/>
      <c r="T84" s="794"/>
      <c r="U84" s="794"/>
      <c r="V84" s="794"/>
      <c r="W84" s="794"/>
      <c r="X84" s="794"/>
      <c r="Y84" s="794"/>
      <c r="Z84" s="794"/>
      <c r="AA84" s="794"/>
      <c r="AB84" s="794"/>
      <c r="AC84" s="794"/>
      <c r="AD84" s="780"/>
      <c r="AE84" s="781"/>
      <c r="AF84" s="782"/>
      <c r="AG84" s="783"/>
      <c r="AH84" s="784"/>
      <c r="AI84" s="784"/>
      <c r="AJ84" s="784"/>
      <c r="AK84" s="784"/>
      <c r="AL84" s="784"/>
      <c r="AM84" s="784"/>
      <c r="AN84" s="785"/>
    </row>
    <row r="85" spans="2:40" ht="18" customHeight="1">
      <c r="B85" s="1304" t="s">
        <v>390</v>
      </c>
      <c r="C85" s="2137" t="str">
        <f ca="1">'Attachment JP'!B166</f>
        <v/>
      </c>
      <c r="D85" s="2138"/>
      <c r="E85" s="2144" t="str">
        <f ca="1">'Attachment JP'!D166</f>
        <v/>
      </c>
      <c r="F85" s="2132"/>
      <c r="G85" s="2132"/>
      <c r="H85" s="2132"/>
      <c r="I85" s="2132"/>
      <c r="J85" s="2132"/>
      <c r="K85" s="2132"/>
      <c r="L85" s="2132"/>
      <c r="M85" s="2133"/>
      <c r="N85" s="2134" t="str">
        <f ca="1">'Attachment JP'!O166</f>
        <v/>
      </c>
      <c r="O85" s="2135"/>
      <c r="P85" s="2135"/>
      <c r="Q85" s="2136"/>
      <c r="R85" s="2113" t="str">
        <f ca="1">'Attachment JP'!S166</f>
        <v/>
      </c>
      <c r="S85" s="2114"/>
      <c r="T85" s="2114"/>
      <c r="U85" s="2114"/>
      <c r="V85" s="2114"/>
      <c r="W85" s="2114"/>
      <c r="X85" s="2114"/>
      <c r="Y85" s="2114"/>
      <c r="Z85" s="2114"/>
      <c r="AA85" s="2114"/>
      <c r="AB85" s="2114"/>
      <c r="AC85" s="2115"/>
      <c r="AD85" s="1391"/>
      <c r="AE85" s="1392"/>
      <c r="AF85" s="1393"/>
      <c r="AG85" s="2140"/>
      <c r="AH85" s="2140"/>
      <c r="AI85" s="2140"/>
      <c r="AJ85" s="2140"/>
      <c r="AK85" s="2140"/>
      <c r="AL85" s="2140"/>
      <c r="AM85" s="2140"/>
      <c r="AN85" s="2141"/>
    </row>
    <row r="86" spans="2:40" ht="18" customHeight="1">
      <c r="B86" s="371" t="s">
        <v>729</v>
      </c>
      <c r="C86" s="763"/>
      <c r="D86" s="2139"/>
      <c r="E86" s="2145"/>
      <c r="F86" s="786"/>
      <c r="G86" s="786"/>
      <c r="H86" s="786"/>
      <c r="I86" s="786"/>
      <c r="J86" s="786"/>
      <c r="K86" s="786"/>
      <c r="L86" s="786"/>
      <c r="M86" s="787"/>
      <c r="N86" s="1288"/>
      <c r="O86" s="1281"/>
      <c r="P86" s="1281"/>
      <c r="Q86" s="1289"/>
      <c r="R86" s="793"/>
      <c r="S86" s="794"/>
      <c r="T86" s="794"/>
      <c r="U86" s="794"/>
      <c r="V86" s="794"/>
      <c r="W86" s="794"/>
      <c r="X86" s="794"/>
      <c r="Y86" s="794"/>
      <c r="Z86" s="794"/>
      <c r="AA86" s="794"/>
      <c r="AB86" s="794"/>
      <c r="AC86" s="2116"/>
      <c r="AD86" s="780"/>
      <c r="AE86" s="781"/>
      <c r="AF86" s="782"/>
      <c r="AG86" s="2142"/>
      <c r="AH86" s="2142"/>
      <c r="AI86" s="2142"/>
      <c r="AJ86" s="2142"/>
      <c r="AK86" s="2142"/>
      <c r="AL86" s="2142"/>
      <c r="AM86" s="2142"/>
      <c r="AN86" s="2143"/>
    </row>
    <row r="87" spans="2:40" ht="3" customHeight="1">
      <c r="B87" s="309"/>
      <c r="C87" s="376"/>
      <c r="D87" s="261"/>
      <c r="E87" s="257"/>
      <c r="F87" s="257"/>
      <c r="G87" s="257"/>
      <c r="H87" s="257"/>
      <c r="I87" s="257"/>
      <c r="J87" s="257"/>
      <c r="K87" s="257"/>
      <c r="L87" s="257"/>
      <c r="M87" s="258"/>
      <c r="N87" s="246"/>
      <c r="O87" s="257"/>
      <c r="P87" s="257"/>
      <c r="Q87" s="257"/>
      <c r="R87" s="776"/>
      <c r="S87" s="777"/>
      <c r="T87" s="777"/>
      <c r="U87" s="777"/>
      <c r="V87" s="777"/>
      <c r="W87" s="777"/>
      <c r="X87" s="777"/>
      <c r="Y87" s="777"/>
      <c r="Z87" s="777"/>
      <c r="AA87" s="777"/>
      <c r="AB87" s="777"/>
      <c r="AC87" s="777"/>
      <c r="AD87" s="628"/>
      <c r="AE87" s="629"/>
      <c r="AF87" s="630"/>
      <c r="AG87" s="631"/>
      <c r="AH87" s="632"/>
      <c r="AI87" s="632"/>
      <c r="AJ87" s="632"/>
      <c r="AK87" s="632"/>
      <c r="AL87" s="632"/>
      <c r="AM87" s="632"/>
      <c r="AN87" s="263"/>
    </row>
    <row r="88" spans="2:40" ht="15" customHeight="1">
      <c r="B88" s="146"/>
      <c r="C88" s="142" t="s">
        <v>721</v>
      </c>
      <c r="D88" s="1307"/>
      <c r="E88" s="1307"/>
      <c r="F88" s="1307"/>
      <c r="G88" s="1307"/>
      <c r="H88" s="1307"/>
      <c r="I88" s="1307"/>
      <c r="J88" s="1307"/>
      <c r="K88" s="1307"/>
      <c r="L88" s="1307"/>
      <c r="M88" s="1895"/>
      <c r="N88" s="170"/>
      <c r="O88" s="170"/>
      <c r="P88" s="142" t="s">
        <v>720</v>
      </c>
      <c r="Q88" s="1895"/>
      <c r="R88" s="2036">
        <f ca="1">SUM(R73:AC86)</f>
        <v>0</v>
      </c>
      <c r="S88" s="2037"/>
      <c r="T88" s="2037"/>
      <c r="U88" s="2037"/>
      <c r="V88" s="2037"/>
      <c r="W88" s="2037"/>
      <c r="X88" s="2037"/>
      <c r="Y88" s="2037"/>
      <c r="Z88" s="2037"/>
      <c r="AA88" s="2037"/>
      <c r="AB88" s="2037"/>
      <c r="AC88" s="622"/>
      <c r="AD88" s="626"/>
      <c r="AE88" s="183"/>
      <c r="AF88" s="183"/>
      <c r="AG88" s="183"/>
      <c r="AH88" s="183"/>
      <c r="AI88" s="183"/>
      <c r="AJ88" s="183"/>
      <c r="AK88" s="184"/>
      <c r="AL88" s="184"/>
      <c r="AM88" s="184"/>
      <c r="AN88" s="185"/>
    </row>
    <row r="89" spans="2:40" ht="4.5" customHeight="1">
      <c r="B89" s="154"/>
      <c r="C89" s="141"/>
      <c r="D89" s="67"/>
      <c r="E89" s="67"/>
      <c r="F89" s="67"/>
      <c r="G89" s="67"/>
      <c r="H89" s="67"/>
      <c r="I89" s="67"/>
      <c r="J89" s="67"/>
      <c r="K89" s="67"/>
      <c r="L89" s="67"/>
      <c r="M89" s="297"/>
      <c r="N89" s="99"/>
      <c r="O89" s="99"/>
      <c r="P89" s="141"/>
      <c r="Q89" s="297"/>
      <c r="R89" s="2038"/>
      <c r="S89" s="2039"/>
      <c r="T89" s="2039"/>
      <c r="U89" s="2039"/>
      <c r="V89" s="2039"/>
      <c r="W89" s="2039"/>
      <c r="X89" s="2039"/>
      <c r="Y89" s="2039"/>
      <c r="Z89" s="2039"/>
      <c r="AA89" s="2039"/>
      <c r="AB89" s="2039"/>
      <c r="AC89" s="623"/>
      <c r="AD89" s="627"/>
      <c r="AE89" s="97"/>
      <c r="AF89" s="97"/>
      <c r="AG89" s="97"/>
      <c r="AH89" s="97"/>
      <c r="AI89" s="97"/>
      <c r="AJ89" s="97"/>
      <c r="AK89" s="98"/>
      <c r="AL89" s="98"/>
      <c r="AM89" s="98"/>
      <c r="AN89" s="179"/>
    </row>
    <row r="90" spans="2:40" ht="3" customHeight="1" hidden="1">
      <c r="B90" s="177"/>
      <c r="C90" s="1293"/>
      <c r="D90" s="1901"/>
      <c r="E90" s="1901"/>
      <c r="F90" s="1901"/>
      <c r="G90" s="1901"/>
      <c r="H90" s="1901"/>
      <c r="I90" s="1901"/>
      <c r="J90" s="1901"/>
      <c r="K90" s="1901"/>
      <c r="L90" s="1901"/>
      <c r="M90" s="1896"/>
      <c r="N90" s="156"/>
      <c r="O90" s="156"/>
      <c r="P90" s="1293"/>
      <c r="Q90" s="1896"/>
      <c r="R90" s="272"/>
      <c r="S90" s="273"/>
      <c r="T90" s="273"/>
      <c r="U90" s="273"/>
      <c r="V90" s="273"/>
      <c r="W90" s="273"/>
      <c r="X90" s="273"/>
      <c r="Y90" s="273"/>
      <c r="Z90" s="273"/>
      <c r="AA90" s="273"/>
      <c r="AB90" s="273"/>
      <c r="AC90" s="273"/>
      <c r="AD90" s="273"/>
      <c r="AE90" s="273"/>
      <c r="AF90" s="274"/>
      <c r="AG90" s="180"/>
      <c r="AH90" s="180"/>
      <c r="AI90" s="180"/>
      <c r="AJ90" s="180"/>
      <c r="AK90" s="181"/>
      <c r="AL90" s="181"/>
      <c r="AM90" s="181"/>
      <c r="AN90" s="182"/>
    </row>
    <row r="91" spans="2:40" ht="5.25" customHeight="1"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  <c r="AC91" s="133"/>
      <c r="AD91" s="45"/>
      <c r="AE91" s="45"/>
      <c r="AF91" s="45"/>
      <c r="AG91" s="45"/>
      <c r="AH91" s="45"/>
      <c r="AI91" s="45"/>
      <c r="AJ91" s="164"/>
      <c r="AK91" s="164"/>
      <c r="AL91" s="164"/>
      <c r="AM91" s="164"/>
      <c r="AN91" s="164"/>
    </row>
    <row r="92" spans="2:40" ht="3" customHeight="1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4"/>
      <c r="AE92" s="4"/>
      <c r="AF92" s="4"/>
      <c r="AG92" s="4"/>
      <c r="AH92" s="4"/>
      <c r="AI92" s="4"/>
      <c r="AJ92"/>
      <c r="AK92"/>
      <c r="AL92"/>
      <c r="AM92"/>
      <c r="AN92"/>
    </row>
    <row r="93" spans="2:40" ht="15" customHeight="1">
      <c r="B93" s="916" t="s">
        <v>722</v>
      </c>
      <c r="C93" s="946"/>
      <c r="D93" s="946"/>
      <c r="E93" s="915"/>
      <c r="F93" s="946" t="s">
        <v>26</v>
      </c>
      <c r="G93" s="947" t="s">
        <v>1210</v>
      </c>
      <c r="H93" s="915"/>
      <c r="I93" s="946"/>
      <c r="J93" s="946"/>
      <c r="K93" s="72"/>
      <c r="L93" s="79"/>
      <c r="M93" s="4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7"/>
      <c r="AC93" s="11"/>
      <c r="AD93" s="4"/>
      <c r="AE93" s="4"/>
      <c r="AF93" s="4"/>
      <c r="AG93" s="4"/>
      <c r="AH93" s="4"/>
      <c r="AI93" s="4"/>
      <c r="AJ93"/>
      <c r="AK93"/>
      <c r="AL93"/>
      <c r="AM93"/>
      <c r="AN93"/>
    </row>
    <row r="94" spans="2:40" ht="3" customHeight="1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4"/>
      <c r="AE94" s="4"/>
      <c r="AF94" s="4"/>
      <c r="AG94" s="4"/>
      <c r="AH94" s="4"/>
      <c r="AI94" s="4"/>
      <c r="AJ94"/>
      <c r="AK94"/>
      <c r="AL94"/>
      <c r="AM94"/>
      <c r="AN94"/>
    </row>
    <row r="95" spans="2:40" ht="3" customHeight="1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4"/>
      <c r="AE95" s="4"/>
      <c r="AF95" s="4"/>
      <c r="AG95" s="4"/>
      <c r="AH95" s="4"/>
      <c r="AI95" s="4"/>
      <c r="AJ95"/>
      <c r="AK95"/>
      <c r="AL95"/>
      <c r="AM95"/>
      <c r="AN95"/>
    </row>
    <row r="96" spans="2:40" ht="15" customHeight="1">
      <c r="B96" s="1992" t="s">
        <v>702</v>
      </c>
      <c r="C96" s="1995" t="s">
        <v>978</v>
      </c>
      <c r="D96" s="1996"/>
      <c r="E96" s="1879" t="s">
        <v>1211</v>
      </c>
      <c r="F96" s="1292"/>
      <c r="G96" s="1292"/>
      <c r="H96" s="1292"/>
      <c r="I96" s="1292"/>
      <c r="J96" s="1292"/>
      <c r="K96" s="1292"/>
      <c r="L96" s="1292"/>
      <c r="M96" s="1292"/>
      <c r="N96" s="1292"/>
      <c r="O96" s="1880"/>
      <c r="P96" s="1915" t="s">
        <v>1211</v>
      </c>
      <c r="Q96" s="2040"/>
      <c r="R96" s="2040"/>
      <c r="S96" s="2040"/>
      <c r="T96" s="2040"/>
      <c r="U96" s="2040"/>
      <c r="V96" s="2040"/>
      <c r="W96" s="2040"/>
      <c r="X96" s="2040"/>
      <c r="Y96" s="2041"/>
      <c r="Z96" s="1917" t="s">
        <v>1212</v>
      </c>
      <c r="AA96" s="1295"/>
      <c r="AB96" s="1295"/>
      <c r="AC96" s="1916"/>
      <c r="AD96" s="1879" t="s">
        <v>762</v>
      </c>
      <c r="AE96" s="1292"/>
      <c r="AF96" s="1292"/>
      <c r="AG96" s="1292"/>
      <c r="AH96" s="1292"/>
      <c r="AI96" s="1292"/>
      <c r="AJ96" s="1292"/>
      <c r="AK96" s="1292"/>
      <c r="AL96" s="1292"/>
      <c r="AM96" s="1292"/>
      <c r="AN96" s="1880"/>
    </row>
    <row r="97" spans="2:55" ht="15.75" customHeight="1">
      <c r="B97" s="1993"/>
      <c r="C97" s="1997"/>
      <c r="D97" s="1998"/>
      <c r="E97" s="1004" t="s">
        <v>629</v>
      </c>
      <c r="F97" s="982"/>
      <c r="G97" s="982"/>
      <c r="H97" s="982"/>
      <c r="I97" s="982"/>
      <c r="J97" s="982"/>
      <c r="K97" s="982"/>
      <c r="L97" s="982"/>
      <c r="M97" s="982"/>
      <c r="N97" s="982"/>
      <c r="O97" s="1881"/>
      <c r="P97" s="2042" t="s">
        <v>1213</v>
      </c>
      <c r="Q97" s="2043"/>
      <c r="R97" s="2043"/>
      <c r="S97" s="2043"/>
      <c r="T97" s="2043"/>
      <c r="U97" s="2043"/>
      <c r="V97" s="2043"/>
      <c r="W97" s="2043"/>
      <c r="X97" s="2043"/>
      <c r="Y97" s="2044"/>
      <c r="Z97" s="2045" t="s">
        <v>1214</v>
      </c>
      <c r="AA97" s="2046"/>
      <c r="AB97" s="2046"/>
      <c r="AC97" s="2047"/>
      <c r="AD97" s="1004"/>
      <c r="AE97" s="982"/>
      <c r="AF97" s="982"/>
      <c r="AG97" s="982"/>
      <c r="AH97" s="982"/>
      <c r="AI97" s="982"/>
      <c r="AJ97" s="982"/>
      <c r="AK97" s="982"/>
      <c r="AL97" s="982"/>
      <c r="AM97" s="982"/>
      <c r="AN97" s="1881"/>
      <c r="BC97" s="2788" t="s">
        <v>197</v>
      </c>
    </row>
    <row r="98" spans="2:40" ht="3" customHeight="1">
      <c r="B98" s="1994"/>
      <c r="C98" s="1999"/>
      <c r="D98" s="2000"/>
      <c r="E98" s="949"/>
      <c r="F98" s="949"/>
      <c r="G98" s="949"/>
      <c r="H98" s="949"/>
      <c r="I98" s="949"/>
      <c r="J98" s="949"/>
      <c r="K98" s="949"/>
      <c r="L98" s="949"/>
      <c r="M98" s="949"/>
      <c r="N98" s="949"/>
      <c r="O98" s="950"/>
      <c r="P98" s="915"/>
      <c r="Q98" s="915"/>
      <c r="R98" s="915"/>
      <c r="S98" s="915"/>
      <c r="T98" s="915"/>
      <c r="U98" s="915"/>
      <c r="V98" s="915"/>
      <c r="W98" s="915"/>
      <c r="X98" s="915"/>
      <c r="Y98" s="915"/>
      <c r="Z98" s="951"/>
      <c r="AA98" s="915"/>
      <c r="AB98" s="915"/>
      <c r="AC98" s="923"/>
      <c r="AD98" s="952"/>
      <c r="AE98" s="915"/>
      <c r="AF98" s="915"/>
      <c r="AG98" s="912"/>
      <c r="AH98" s="915"/>
      <c r="AI98" s="912"/>
      <c r="AJ98" s="912"/>
      <c r="AK98" s="912"/>
      <c r="AL98" s="912"/>
      <c r="AM98" s="912"/>
      <c r="AN98" s="953"/>
    </row>
    <row r="99" spans="2:40" s="16" customFormat="1" ht="12" customHeight="1">
      <c r="B99" s="145" t="s">
        <v>65</v>
      </c>
      <c r="C99" s="145" t="s">
        <v>64</v>
      </c>
      <c r="D99" s="1862"/>
      <c r="E99" s="145" t="s">
        <v>66</v>
      </c>
      <c r="F99" s="1861"/>
      <c r="G99" s="1861"/>
      <c r="H99" s="1861"/>
      <c r="I99" s="1861"/>
      <c r="J99" s="1861"/>
      <c r="K99" s="1861"/>
      <c r="L99" s="1861"/>
      <c r="M99" s="1861"/>
      <c r="N99" s="1861"/>
      <c r="O99" s="1862"/>
      <c r="P99" s="145" t="s">
        <v>67</v>
      </c>
      <c r="Q99" s="1861"/>
      <c r="R99" s="1861"/>
      <c r="S99" s="1861"/>
      <c r="T99" s="1861"/>
      <c r="U99" s="1861"/>
      <c r="V99" s="1861"/>
      <c r="W99" s="1861"/>
      <c r="X99" s="1861"/>
      <c r="Y99" s="1862"/>
      <c r="Z99" s="145" t="s">
        <v>68</v>
      </c>
      <c r="AA99" s="1861"/>
      <c r="AB99" s="1861"/>
      <c r="AC99" s="1862"/>
      <c r="AD99" s="145" t="s">
        <v>100</v>
      </c>
      <c r="AE99" s="1861"/>
      <c r="AF99" s="1861"/>
      <c r="AG99" s="1861"/>
      <c r="AH99" s="1861"/>
      <c r="AI99" s="1861"/>
      <c r="AJ99" s="1861"/>
      <c r="AK99" s="1861"/>
      <c r="AL99" s="1861"/>
      <c r="AM99" s="1861"/>
      <c r="AN99" s="1862"/>
    </row>
    <row r="100" spans="2:40" ht="18" customHeight="1">
      <c r="B100" s="1304" t="s">
        <v>386</v>
      </c>
      <c r="C100" s="1300"/>
      <c r="D100" s="1302"/>
      <c r="E100" s="2146" t="s">
        <v>1402</v>
      </c>
      <c r="F100" s="2146"/>
      <c r="G100" s="2146"/>
      <c r="H100" s="2146"/>
      <c r="I100" s="2146"/>
      <c r="J100" s="2146"/>
      <c r="K100" s="2146"/>
      <c r="L100" s="2146"/>
      <c r="M100" s="2146"/>
      <c r="N100" s="2146"/>
      <c r="O100" s="2147"/>
      <c r="P100" s="590"/>
      <c r="Q100" s="634"/>
      <c r="R100" s="634"/>
      <c r="S100" s="634"/>
      <c r="T100" s="634"/>
      <c r="U100" s="634"/>
      <c r="V100" s="634"/>
      <c r="W100" s="634"/>
      <c r="X100" s="634"/>
      <c r="Y100" s="634"/>
      <c r="Z100" s="2048"/>
      <c r="AA100" s="2059"/>
      <c r="AB100" s="2059"/>
      <c r="AC100" s="2049"/>
      <c r="AD100" s="2036">
        <f ca="1">'1770 S-II JP'!AD115</f>
        <v>0</v>
      </c>
      <c r="AE100" s="2037"/>
      <c r="AF100" s="2037"/>
      <c r="AG100" s="2037"/>
      <c r="AH100" s="2037"/>
      <c r="AI100" s="2037"/>
      <c r="AJ100" s="2037"/>
      <c r="AK100" s="2037"/>
      <c r="AL100" s="2037"/>
      <c r="AM100" s="2037"/>
      <c r="AN100" s="253"/>
    </row>
    <row r="101" spans="2:40" ht="18" customHeight="1">
      <c r="B101" s="1294"/>
      <c r="C101" s="746"/>
      <c r="D101" s="747"/>
      <c r="E101" s="374"/>
      <c r="F101" s="374"/>
      <c r="G101" s="374"/>
      <c r="H101" s="374"/>
      <c r="I101" s="374"/>
      <c r="J101" s="374"/>
      <c r="K101" s="374"/>
      <c r="L101" s="374"/>
      <c r="M101" s="374"/>
      <c r="N101" s="374"/>
      <c r="O101" s="375"/>
      <c r="P101" s="591"/>
      <c r="Q101" s="38"/>
      <c r="R101" s="38"/>
      <c r="S101" s="38"/>
      <c r="T101" s="38"/>
      <c r="U101" s="38"/>
      <c r="V101" s="38"/>
      <c r="W101" s="38"/>
      <c r="X101" s="38"/>
      <c r="Y101" s="38"/>
      <c r="Z101" s="1308"/>
      <c r="AA101" s="1005"/>
      <c r="AB101" s="1005"/>
      <c r="AC101" s="2050"/>
      <c r="AD101" s="2038"/>
      <c r="AE101" s="2039"/>
      <c r="AF101" s="2039"/>
      <c r="AG101" s="2039"/>
      <c r="AH101" s="2039"/>
      <c r="AI101" s="2039"/>
      <c r="AJ101" s="2039"/>
      <c r="AK101" s="2039"/>
      <c r="AL101" s="2039"/>
      <c r="AM101" s="2039"/>
      <c r="AN101" s="254"/>
    </row>
    <row r="102" spans="2:40" ht="3" customHeight="1">
      <c r="B102" s="141"/>
      <c r="C102" s="591"/>
      <c r="D102" s="1321"/>
      <c r="E102" s="374"/>
      <c r="F102" s="374"/>
      <c r="G102" s="374"/>
      <c r="H102" s="374"/>
      <c r="I102" s="374"/>
      <c r="J102" s="374"/>
      <c r="K102" s="374"/>
      <c r="L102" s="374"/>
      <c r="M102" s="374"/>
      <c r="N102" s="374"/>
      <c r="O102" s="375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956"/>
      <c r="AA102" s="957"/>
      <c r="AB102" s="1008"/>
      <c r="AC102" s="958"/>
      <c r="AD102" s="765"/>
      <c r="AE102" s="766"/>
      <c r="AF102" s="766"/>
      <c r="AG102" s="275"/>
      <c r="AH102" s="275"/>
      <c r="AI102" s="275"/>
      <c r="AJ102" s="275"/>
      <c r="AK102" s="275"/>
      <c r="AL102" s="275"/>
      <c r="AM102" s="275"/>
      <c r="AN102" s="283"/>
    </row>
    <row r="103" spans="2:40" ht="15" customHeight="1">
      <c r="B103" s="1304" t="s">
        <v>387</v>
      </c>
      <c r="C103" s="1869"/>
      <c r="D103" s="2117"/>
      <c r="E103" s="2118"/>
      <c r="F103" s="1314"/>
      <c r="G103" s="1314"/>
      <c r="H103" s="1314"/>
      <c r="I103" s="1314"/>
      <c r="J103" s="1314"/>
      <c r="K103" s="1314"/>
      <c r="L103" s="1314"/>
      <c r="M103" s="1314"/>
      <c r="N103" s="1314"/>
      <c r="O103" s="1315"/>
      <c r="P103" s="1394"/>
      <c r="Q103" s="1395"/>
      <c r="R103" s="1395"/>
      <c r="S103" s="1395"/>
      <c r="T103" s="1395"/>
      <c r="U103" s="1395"/>
      <c r="V103" s="1395"/>
      <c r="W103" s="1395"/>
      <c r="X103" s="1395"/>
      <c r="Y103" s="1395"/>
      <c r="Z103" s="2048"/>
      <c r="AA103" s="2059"/>
      <c r="AB103" s="2059"/>
      <c r="AC103" s="2049"/>
      <c r="AD103" s="2120"/>
      <c r="AE103" s="2121"/>
      <c r="AF103" s="2121"/>
      <c r="AG103" s="2121"/>
      <c r="AH103" s="2121"/>
      <c r="AI103" s="2121"/>
      <c r="AJ103" s="2121"/>
      <c r="AK103" s="2121"/>
      <c r="AL103" s="2121"/>
      <c r="AM103" s="2121"/>
      <c r="AN103" s="2122"/>
    </row>
    <row r="104" spans="2:40" ht="12.75" customHeight="1">
      <c r="B104" s="1294"/>
      <c r="C104" s="376"/>
      <c r="D104" s="1943"/>
      <c r="E104" s="2119"/>
      <c r="F104" s="1312"/>
      <c r="G104" s="1312"/>
      <c r="H104" s="1312"/>
      <c r="I104" s="1312"/>
      <c r="J104" s="1312"/>
      <c r="K104" s="1312"/>
      <c r="L104" s="1312"/>
      <c r="M104" s="1312"/>
      <c r="N104" s="1312"/>
      <c r="O104" s="1313"/>
      <c r="P104" s="589"/>
      <c r="Q104" s="257"/>
      <c r="R104" s="257"/>
      <c r="S104" s="257"/>
      <c r="T104" s="257"/>
      <c r="U104" s="257"/>
      <c r="V104" s="257"/>
      <c r="W104" s="257"/>
      <c r="X104" s="257"/>
      <c r="Y104" s="257"/>
      <c r="Z104" s="1308"/>
      <c r="AA104" s="1005"/>
      <c r="AB104" s="1005"/>
      <c r="AC104" s="2050"/>
      <c r="AD104" s="765"/>
      <c r="AE104" s="766"/>
      <c r="AF104" s="766"/>
      <c r="AG104" s="766"/>
      <c r="AH104" s="766"/>
      <c r="AI104" s="766"/>
      <c r="AJ104" s="766"/>
      <c r="AK104" s="766"/>
      <c r="AL104" s="766"/>
      <c r="AM104" s="766"/>
      <c r="AN104" s="2123"/>
    </row>
    <row r="105" spans="2:40" ht="3" customHeight="1">
      <c r="B105" s="141"/>
      <c r="C105" s="589"/>
      <c r="D105" s="258"/>
      <c r="E105" s="1312"/>
      <c r="F105" s="1312"/>
      <c r="G105" s="1312"/>
      <c r="H105" s="1312"/>
      <c r="I105" s="1312"/>
      <c r="J105" s="1312"/>
      <c r="K105" s="1312"/>
      <c r="L105" s="1312"/>
      <c r="M105" s="1312"/>
      <c r="N105" s="1312"/>
      <c r="O105" s="1313"/>
      <c r="P105" s="589"/>
      <c r="Q105" s="257"/>
      <c r="R105" s="257"/>
      <c r="S105" s="257"/>
      <c r="T105" s="257"/>
      <c r="U105" s="257"/>
      <c r="V105" s="257"/>
      <c r="W105" s="257"/>
      <c r="X105" s="257"/>
      <c r="Y105" s="257"/>
      <c r="Z105" s="1308"/>
      <c r="AA105" s="1005"/>
      <c r="AB105" s="1396"/>
      <c r="AC105" s="1397"/>
      <c r="AD105" s="765"/>
      <c r="AE105" s="766"/>
      <c r="AF105" s="766"/>
      <c r="AG105" s="1319"/>
      <c r="AH105" s="1319"/>
      <c r="AI105" s="1319"/>
      <c r="AJ105" s="1319"/>
      <c r="AK105" s="1319"/>
      <c r="AL105" s="1319"/>
      <c r="AM105" s="1319"/>
      <c r="AN105" s="1320"/>
    </row>
    <row r="106" spans="2:40" ht="15" customHeight="1">
      <c r="B106" s="1304" t="s">
        <v>388</v>
      </c>
      <c r="C106" s="1869"/>
      <c r="D106" s="2117"/>
      <c r="E106" s="2118"/>
      <c r="F106" s="1314"/>
      <c r="G106" s="1314"/>
      <c r="H106" s="1314"/>
      <c r="I106" s="1314"/>
      <c r="J106" s="1314"/>
      <c r="K106" s="1314"/>
      <c r="L106" s="1314"/>
      <c r="M106" s="1314"/>
      <c r="N106" s="1314"/>
      <c r="O106" s="1315"/>
      <c r="P106" s="1394"/>
      <c r="Q106" s="1395"/>
      <c r="R106" s="1395"/>
      <c r="S106" s="1395"/>
      <c r="T106" s="1395"/>
      <c r="U106" s="1395"/>
      <c r="V106" s="1395"/>
      <c r="W106" s="1395"/>
      <c r="X106" s="1395"/>
      <c r="Y106" s="1395"/>
      <c r="Z106" s="2048"/>
      <c r="AA106" s="2059"/>
      <c r="AB106" s="2059"/>
      <c r="AC106" s="2049"/>
      <c r="AD106" s="2120"/>
      <c r="AE106" s="2121"/>
      <c r="AF106" s="2121"/>
      <c r="AG106" s="2121"/>
      <c r="AH106" s="2121"/>
      <c r="AI106" s="2121"/>
      <c r="AJ106" s="2121"/>
      <c r="AK106" s="2121"/>
      <c r="AL106" s="2121"/>
      <c r="AM106" s="2121"/>
      <c r="AN106" s="2122"/>
    </row>
    <row r="107" spans="2:40" ht="12" customHeight="1">
      <c r="B107" s="1294"/>
      <c r="C107" s="376"/>
      <c r="D107" s="1943"/>
      <c r="E107" s="2119"/>
      <c r="F107" s="1312"/>
      <c r="G107" s="1312"/>
      <c r="H107" s="1312"/>
      <c r="I107" s="1312"/>
      <c r="J107" s="1312"/>
      <c r="K107" s="1312"/>
      <c r="L107" s="1312"/>
      <c r="M107" s="1312"/>
      <c r="N107" s="1312"/>
      <c r="O107" s="1313"/>
      <c r="P107" s="589"/>
      <c r="Q107" s="257"/>
      <c r="R107" s="257"/>
      <c r="S107" s="257"/>
      <c r="T107" s="257"/>
      <c r="U107" s="257"/>
      <c r="V107" s="257"/>
      <c r="W107" s="257"/>
      <c r="X107" s="257"/>
      <c r="Y107" s="257"/>
      <c r="Z107" s="1308"/>
      <c r="AA107" s="1005"/>
      <c r="AB107" s="1005"/>
      <c r="AC107" s="2050"/>
      <c r="AD107" s="765"/>
      <c r="AE107" s="766"/>
      <c r="AF107" s="766"/>
      <c r="AG107" s="766"/>
      <c r="AH107" s="766"/>
      <c r="AI107" s="766"/>
      <c r="AJ107" s="766"/>
      <c r="AK107" s="766"/>
      <c r="AL107" s="766"/>
      <c r="AM107" s="766"/>
      <c r="AN107" s="2123"/>
    </row>
    <row r="108" spans="2:40" ht="3" customHeight="1">
      <c r="B108" s="141"/>
      <c r="C108" s="143"/>
      <c r="D108" s="151"/>
      <c r="E108" s="298"/>
      <c r="F108" s="298"/>
      <c r="G108" s="298"/>
      <c r="H108" s="298"/>
      <c r="I108" s="298"/>
      <c r="J108" s="298"/>
      <c r="K108" s="298"/>
      <c r="L108" s="298"/>
      <c r="M108" s="298"/>
      <c r="N108" s="298"/>
      <c r="O108" s="1398"/>
      <c r="P108" s="589"/>
      <c r="Q108" s="257"/>
      <c r="R108" s="257"/>
      <c r="S108" s="257"/>
      <c r="T108" s="257"/>
      <c r="U108" s="257"/>
      <c r="V108" s="257"/>
      <c r="W108" s="257"/>
      <c r="X108" s="257"/>
      <c r="Y108" s="257"/>
      <c r="Z108" s="1308"/>
      <c r="AA108" s="1005"/>
      <c r="AB108" s="1290"/>
      <c r="AC108" s="1291"/>
      <c r="AD108" s="767"/>
      <c r="AE108" s="768"/>
      <c r="AF108" s="768"/>
      <c r="AG108" s="761"/>
      <c r="AH108" s="761"/>
      <c r="AI108" s="761"/>
      <c r="AJ108" s="761"/>
      <c r="AK108" s="761"/>
      <c r="AL108" s="761"/>
      <c r="AM108" s="761"/>
      <c r="AN108" s="762"/>
    </row>
    <row r="109" spans="2:40" ht="15" customHeight="1">
      <c r="B109" s="1304" t="s">
        <v>389</v>
      </c>
      <c r="C109" s="1869"/>
      <c r="D109" s="2117"/>
      <c r="E109" s="2118"/>
      <c r="F109" s="1314"/>
      <c r="G109" s="1314"/>
      <c r="H109" s="1314"/>
      <c r="I109" s="1314"/>
      <c r="J109" s="1314"/>
      <c r="K109" s="1314"/>
      <c r="L109" s="1314"/>
      <c r="M109" s="1314"/>
      <c r="N109" s="1314"/>
      <c r="O109" s="1315"/>
      <c r="P109" s="1394"/>
      <c r="Q109" s="1395"/>
      <c r="R109" s="1395"/>
      <c r="S109" s="1395"/>
      <c r="T109" s="1395"/>
      <c r="U109" s="1395"/>
      <c r="V109" s="1395"/>
      <c r="W109" s="1395"/>
      <c r="X109" s="1395"/>
      <c r="Y109" s="1395"/>
      <c r="Z109" s="2048"/>
      <c r="AA109" s="2059"/>
      <c r="AB109" s="2059"/>
      <c r="AC109" s="2049"/>
      <c r="AD109" s="2120"/>
      <c r="AE109" s="2121"/>
      <c r="AF109" s="2121"/>
      <c r="AG109" s="2121"/>
      <c r="AH109" s="2121"/>
      <c r="AI109" s="2121"/>
      <c r="AJ109" s="2121"/>
      <c r="AK109" s="2121"/>
      <c r="AL109" s="2121"/>
      <c r="AM109" s="2121"/>
      <c r="AN109" s="2122"/>
    </row>
    <row r="110" spans="2:40" ht="12.75" customHeight="1">
      <c r="B110" s="1294"/>
      <c r="C110" s="376"/>
      <c r="D110" s="1943"/>
      <c r="E110" s="2119"/>
      <c r="F110" s="1312"/>
      <c r="G110" s="1312"/>
      <c r="H110" s="1312"/>
      <c r="I110" s="1312"/>
      <c r="J110" s="1312"/>
      <c r="K110" s="1312"/>
      <c r="L110" s="1312"/>
      <c r="M110" s="1312"/>
      <c r="N110" s="1312"/>
      <c r="O110" s="1313"/>
      <c r="P110" s="589"/>
      <c r="Q110" s="257"/>
      <c r="R110" s="257"/>
      <c r="S110" s="257"/>
      <c r="T110" s="257"/>
      <c r="U110" s="257"/>
      <c r="V110" s="257"/>
      <c r="W110" s="257"/>
      <c r="X110" s="257"/>
      <c r="Y110" s="257"/>
      <c r="Z110" s="1308"/>
      <c r="AA110" s="1005"/>
      <c r="AB110" s="1005"/>
      <c r="AC110" s="2050"/>
      <c r="AD110" s="765"/>
      <c r="AE110" s="766"/>
      <c r="AF110" s="766"/>
      <c r="AG110" s="766"/>
      <c r="AH110" s="766"/>
      <c r="AI110" s="766"/>
      <c r="AJ110" s="766"/>
      <c r="AK110" s="766"/>
      <c r="AL110" s="766"/>
      <c r="AM110" s="766"/>
      <c r="AN110" s="2123"/>
    </row>
    <row r="111" spans="2:40" ht="3" customHeight="1">
      <c r="B111" s="141"/>
      <c r="C111" s="284"/>
      <c r="D111" s="286"/>
      <c r="E111" s="795"/>
      <c r="F111" s="795"/>
      <c r="G111" s="795"/>
      <c r="H111" s="795"/>
      <c r="I111" s="795"/>
      <c r="J111" s="795"/>
      <c r="K111" s="795"/>
      <c r="L111" s="795"/>
      <c r="M111" s="795"/>
      <c r="N111" s="795"/>
      <c r="O111" s="796"/>
      <c r="P111" s="589"/>
      <c r="Q111" s="257"/>
      <c r="R111" s="257"/>
      <c r="S111" s="257"/>
      <c r="T111" s="257"/>
      <c r="U111" s="257"/>
      <c r="V111" s="257"/>
      <c r="W111" s="257"/>
      <c r="X111" s="257"/>
      <c r="Y111" s="257"/>
      <c r="Z111" s="1308"/>
      <c r="AA111" s="1005"/>
      <c r="AB111" s="1290"/>
      <c r="AC111" s="1291"/>
      <c r="AD111" s="352"/>
      <c r="AE111" s="353"/>
      <c r="AF111" s="353"/>
      <c r="AG111" s="761"/>
      <c r="AH111" s="761"/>
      <c r="AI111" s="761"/>
      <c r="AJ111" s="761"/>
      <c r="AK111" s="761"/>
      <c r="AL111" s="761"/>
      <c r="AM111" s="761"/>
      <c r="AN111" s="762"/>
    </row>
    <row r="112" spans="2:40" ht="15" customHeight="1">
      <c r="B112" s="1304" t="s">
        <v>390</v>
      </c>
      <c r="C112" s="1869"/>
      <c r="D112" s="2117"/>
      <c r="E112" s="2118"/>
      <c r="F112" s="1314"/>
      <c r="G112" s="1314"/>
      <c r="H112" s="1314"/>
      <c r="I112" s="1314"/>
      <c r="J112" s="1314"/>
      <c r="K112" s="1314"/>
      <c r="L112" s="1314"/>
      <c r="M112" s="1314"/>
      <c r="N112" s="1314"/>
      <c r="O112" s="1315"/>
      <c r="P112" s="1394"/>
      <c r="Q112" s="1395"/>
      <c r="R112" s="1395"/>
      <c r="S112" s="1395"/>
      <c r="T112" s="1395"/>
      <c r="U112" s="1395"/>
      <c r="V112" s="1395"/>
      <c r="W112" s="1395"/>
      <c r="X112" s="1395"/>
      <c r="Y112" s="1395"/>
      <c r="Z112" s="2048"/>
      <c r="AA112" s="2059"/>
      <c r="AB112" s="2059"/>
      <c r="AC112" s="2049"/>
      <c r="AD112" s="2120"/>
      <c r="AE112" s="2121"/>
      <c r="AF112" s="2121"/>
      <c r="AG112" s="2121"/>
      <c r="AH112" s="2121"/>
      <c r="AI112" s="2121"/>
      <c r="AJ112" s="2121"/>
      <c r="AK112" s="2121"/>
      <c r="AL112" s="2121"/>
      <c r="AM112" s="2121"/>
      <c r="AN112" s="2122"/>
    </row>
    <row r="113" spans="2:40" ht="13.5" customHeight="1">
      <c r="B113" s="371" t="s">
        <v>729</v>
      </c>
      <c r="C113" s="376"/>
      <c r="D113" s="1943"/>
      <c r="E113" s="2119"/>
      <c r="F113" s="1312"/>
      <c r="G113" s="1312"/>
      <c r="H113" s="1312"/>
      <c r="I113" s="1312"/>
      <c r="J113" s="1312"/>
      <c r="K113" s="1312"/>
      <c r="L113" s="1312"/>
      <c r="M113" s="1312"/>
      <c r="N113" s="1312"/>
      <c r="O113" s="1313"/>
      <c r="P113" s="589"/>
      <c r="Q113" s="257"/>
      <c r="R113" s="257"/>
      <c r="S113" s="257"/>
      <c r="T113" s="257"/>
      <c r="U113" s="257"/>
      <c r="V113" s="257"/>
      <c r="W113" s="257"/>
      <c r="X113" s="257"/>
      <c r="Y113" s="257"/>
      <c r="Z113" s="1308"/>
      <c r="AA113" s="1005"/>
      <c r="AB113" s="1005"/>
      <c r="AC113" s="2050"/>
      <c r="AD113" s="765"/>
      <c r="AE113" s="766"/>
      <c r="AF113" s="766"/>
      <c r="AG113" s="766"/>
      <c r="AH113" s="766"/>
      <c r="AI113" s="766"/>
      <c r="AJ113" s="766"/>
      <c r="AK113" s="766"/>
      <c r="AL113" s="766"/>
      <c r="AM113" s="766"/>
      <c r="AN113" s="2123"/>
    </row>
    <row r="114" spans="2:40" ht="3" customHeight="1">
      <c r="B114" s="757"/>
      <c r="C114" s="592"/>
      <c r="D114" s="594"/>
      <c r="E114" s="593"/>
      <c r="F114" s="593"/>
      <c r="G114" s="593"/>
      <c r="H114" s="593"/>
      <c r="I114" s="593"/>
      <c r="J114" s="593"/>
      <c r="K114" s="593"/>
      <c r="L114" s="593"/>
      <c r="M114" s="593"/>
      <c r="N114" s="593"/>
      <c r="O114" s="594"/>
      <c r="P114" s="635"/>
      <c r="Q114" s="636"/>
      <c r="R114" s="636"/>
      <c r="S114" s="636"/>
      <c r="T114" s="636"/>
      <c r="U114" s="636"/>
      <c r="V114" s="636"/>
      <c r="W114" s="636"/>
      <c r="X114" s="636"/>
      <c r="Y114" s="636"/>
      <c r="Z114" s="635"/>
      <c r="AA114" s="636"/>
      <c r="AB114" s="285"/>
      <c r="AC114" s="286"/>
      <c r="AD114" s="284"/>
      <c r="AE114" s="285"/>
      <c r="AF114" s="285"/>
      <c r="AG114" s="761"/>
      <c r="AH114" s="761"/>
      <c r="AI114" s="761"/>
      <c r="AJ114" s="761"/>
      <c r="AK114" s="761"/>
      <c r="AL114" s="761"/>
      <c r="AM114" s="761"/>
      <c r="AN114" s="762"/>
    </row>
    <row r="115" spans="2:40" ht="15" customHeight="1">
      <c r="B115" s="146"/>
      <c r="C115" s="1311" t="s">
        <v>730</v>
      </c>
      <c r="D115" s="2069"/>
      <c r="E115" s="2069"/>
      <c r="F115" s="2069"/>
      <c r="G115" s="2069"/>
      <c r="H115" s="2069"/>
      <c r="I115" s="2069"/>
      <c r="J115" s="2069"/>
      <c r="K115" s="2069"/>
      <c r="L115" s="2069"/>
      <c r="M115" s="2069"/>
      <c r="N115" s="2069"/>
      <c r="O115" s="2069"/>
      <c r="P115" s="2069"/>
      <c r="Q115" s="2069"/>
      <c r="R115" s="2069"/>
      <c r="S115" s="2069"/>
      <c r="T115" s="2069"/>
      <c r="U115" s="2069"/>
      <c r="V115" s="2069"/>
      <c r="W115" s="2069"/>
      <c r="X115" s="2069"/>
      <c r="Y115" s="2070"/>
      <c r="Z115" s="190"/>
      <c r="AA115" s="183"/>
      <c r="AB115" s="624" t="s">
        <v>731</v>
      </c>
      <c r="AC115" s="625"/>
      <c r="AD115" s="2036">
        <f ca="1">SUM(AD100:AN113)</f>
        <v>0</v>
      </c>
      <c r="AE115" s="2037"/>
      <c r="AF115" s="2037"/>
      <c r="AG115" s="2037"/>
      <c r="AH115" s="2037"/>
      <c r="AI115" s="2037"/>
      <c r="AJ115" s="2037"/>
      <c r="AK115" s="2037"/>
      <c r="AL115" s="2037"/>
      <c r="AM115" s="2037"/>
      <c r="AN115" s="253"/>
    </row>
    <row r="116" spans="2:40" ht="3.75" customHeight="1">
      <c r="B116" s="153"/>
      <c r="C116" s="328"/>
      <c r="D116" s="2071"/>
      <c r="E116" s="2071"/>
      <c r="F116" s="2071"/>
      <c r="G116" s="2071"/>
      <c r="H116" s="2071"/>
      <c r="I116" s="2071"/>
      <c r="J116" s="2071"/>
      <c r="K116" s="2071"/>
      <c r="L116" s="2071"/>
      <c r="M116" s="2071"/>
      <c r="N116" s="2071"/>
      <c r="O116" s="2071"/>
      <c r="P116" s="2071"/>
      <c r="Q116" s="2071"/>
      <c r="R116" s="2071"/>
      <c r="S116" s="2071"/>
      <c r="T116" s="2071"/>
      <c r="U116" s="2071"/>
      <c r="V116" s="2071"/>
      <c r="W116" s="2071"/>
      <c r="X116" s="2071"/>
      <c r="Y116" s="2072"/>
      <c r="Z116" s="188"/>
      <c r="AA116" s="97"/>
      <c r="AB116" s="66"/>
      <c r="AC116" s="151"/>
      <c r="AD116" s="2038"/>
      <c r="AE116" s="2039"/>
      <c r="AF116" s="2039"/>
      <c r="AG116" s="2039"/>
      <c r="AH116" s="2039"/>
      <c r="AI116" s="2039"/>
      <c r="AJ116" s="2039"/>
      <c r="AK116" s="2039"/>
      <c r="AL116" s="2039"/>
      <c r="AM116" s="2039"/>
      <c r="AN116" s="254"/>
    </row>
    <row r="117" spans="2:40" ht="3" customHeight="1">
      <c r="B117" s="177"/>
      <c r="C117" s="2073"/>
      <c r="D117" s="2074"/>
      <c r="E117" s="2074"/>
      <c r="F117" s="2074"/>
      <c r="G117" s="2074"/>
      <c r="H117" s="2074"/>
      <c r="I117" s="2074"/>
      <c r="J117" s="2074"/>
      <c r="K117" s="2074"/>
      <c r="L117" s="2074"/>
      <c r="M117" s="2074"/>
      <c r="N117" s="2074"/>
      <c r="O117" s="2074"/>
      <c r="P117" s="2074"/>
      <c r="Q117" s="2074"/>
      <c r="R117" s="2074"/>
      <c r="S117" s="2074"/>
      <c r="T117" s="2074"/>
      <c r="U117" s="2074"/>
      <c r="V117" s="2074"/>
      <c r="W117" s="2074"/>
      <c r="X117" s="2074"/>
      <c r="Y117" s="2075"/>
      <c r="Z117" s="189"/>
      <c r="AA117" s="186"/>
      <c r="AB117" s="152"/>
      <c r="AC117" s="588"/>
      <c r="AD117" s="633"/>
      <c r="AE117" s="152"/>
      <c r="AF117" s="152"/>
      <c r="AG117" s="152"/>
      <c r="AH117" s="187"/>
      <c r="AI117" s="172"/>
      <c r="AJ117" s="43"/>
      <c r="AK117" s="172"/>
      <c r="AL117" s="172"/>
      <c r="AM117" s="172"/>
      <c r="AN117" s="173"/>
    </row>
    <row r="118" spans="2:40" ht="6.75" customHeight="1">
      <c r="B118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11"/>
      <c r="AC118" s="11"/>
      <c r="AD118" s="11"/>
      <c r="AE118" s="67"/>
      <c r="AF118" s="67"/>
      <c r="AG118" s="66"/>
      <c r="AH118"/>
      <c r="AI118"/>
      <c r="AJ118" s="4"/>
      <c r="AK118"/>
      <c r="AL118"/>
      <c r="AM118"/>
      <c r="AN118"/>
    </row>
    <row r="119" spans="2:40" ht="3" customHeight="1">
      <c r="B119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11"/>
      <c r="AC119" s="11"/>
      <c r="AD119" s="11"/>
      <c r="AE119" s="67"/>
      <c r="AF119" s="67"/>
      <c r="AG119" s="66"/>
      <c r="AH119"/>
      <c r="AI119"/>
      <c r="AJ119" s="4"/>
      <c r="AK119"/>
      <c r="AL119"/>
      <c r="AM119"/>
      <c r="AN119"/>
    </row>
    <row r="120" spans="1:40" ht="13.5" customHeight="1">
      <c r="A120" s="907"/>
      <c r="B120" s="946" t="s">
        <v>763</v>
      </c>
      <c r="C120" s="907"/>
      <c r="D120" s="946"/>
      <c r="E120" s="915"/>
      <c r="F120" s="946" t="s">
        <v>26</v>
      </c>
      <c r="G120" s="947" t="s">
        <v>764</v>
      </c>
      <c r="H120" s="915"/>
      <c r="I120" s="946"/>
      <c r="J120" s="72"/>
      <c r="K120" s="72"/>
      <c r="L120" s="79"/>
      <c r="M120" s="4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7"/>
      <c r="AC120" s="11"/>
      <c r="AD120" s="4"/>
      <c r="AE120" s="4"/>
      <c r="AF120" s="4"/>
      <c r="AG120" s="4"/>
      <c r="AH120" s="4"/>
      <c r="AI120" s="4"/>
      <c r="AJ120"/>
      <c r="AK120"/>
      <c r="AL120"/>
      <c r="AM120"/>
      <c r="AN120"/>
    </row>
    <row r="121" spans="2:40" ht="3" customHeight="1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4"/>
      <c r="AE121" s="4"/>
      <c r="AF121" s="4"/>
      <c r="AG121" s="4"/>
      <c r="AH121" s="4"/>
      <c r="AI121" s="4"/>
      <c r="AJ121"/>
      <c r="AK121"/>
      <c r="AL121"/>
      <c r="AM121"/>
      <c r="AN121"/>
    </row>
    <row r="122" spans="2:40" ht="3" customHeight="1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4"/>
      <c r="AE122" s="4"/>
      <c r="AF122" s="4"/>
      <c r="AG122" s="4"/>
      <c r="AH122" s="4"/>
      <c r="AI122" s="4"/>
      <c r="AJ122"/>
      <c r="AK122"/>
      <c r="AL122"/>
      <c r="AM122"/>
      <c r="AN122"/>
    </row>
    <row r="123" spans="2:40" ht="26.5" customHeight="1">
      <c r="B123" s="1992" t="s">
        <v>702</v>
      </c>
      <c r="C123" s="1879" t="s">
        <v>629</v>
      </c>
      <c r="D123" s="1292"/>
      <c r="E123" s="1292"/>
      <c r="F123" s="1292"/>
      <c r="G123" s="1292"/>
      <c r="H123" s="1292"/>
      <c r="I123" s="1292"/>
      <c r="J123" s="1292"/>
      <c r="K123" s="1292"/>
      <c r="L123" s="1292"/>
      <c r="M123" s="1292"/>
      <c r="N123" s="1292"/>
      <c r="O123" s="1880"/>
      <c r="P123" s="2082" t="s">
        <v>979</v>
      </c>
      <c r="Q123" s="2083"/>
      <c r="R123" s="2083"/>
      <c r="S123" s="2083"/>
      <c r="T123" s="2083"/>
      <c r="U123" s="2083"/>
      <c r="V123" s="2083"/>
      <c r="W123" s="2084"/>
      <c r="X123" s="1879" t="s">
        <v>765</v>
      </c>
      <c r="Y123" s="1292"/>
      <c r="Z123" s="1292"/>
      <c r="AA123" s="1292"/>
      <c r="AB123" s="1292"/>
      <c r="AC123" s="1292"/>
      <c r="AD123" s="1292"/>
      <c r="AE123" s="1292"/>
      <c r="AF123" s="1880"/>
      <c r="AG123" s="1879" t="s">
        <v>766</v>
      </c>
      <c r="AH123" s="1292"/>
      <c r="AI123" s="1292"/>
      <c r="AJ123" s="1292"/>
      <c r="AK123" s="1292"/>
      <c r="AL123" s="1292"/>
      <c r="AM123" s="1292"/>
      <c r="AN123" s="1880"/>
    </row>
    <row r="124" spans="2:40" ht="26.5" customHeight="1">
      <c r="B124" s="1993"/>
      <c r="C124" s="1004"/>
      <c r="D124" s="982"/>
      <c r="E124" s="982"/>
      <c r="F124" s="982"/>
      <c r="G124" s="982"/>
      <c r="H124" s="982"/>
      <c r="I124" s="982"/>
      <c r="J124" s="982"/>
      <c r="K124" s="982"/>
      <c r="L124" s="982"/>
      <c r="M124" s="982"/>
      <c r="N124" s="982"/>
      <c r="O124" s="1881"/>
      <c r="P124" s="2085"/>
      <c r="Q124" s="2086"/>
      <c r="R124" s="2086"/>
      <c r="S124" s="2086"/>
      <c r="T124" s="2086"/>
      <c r="U124" s="2086"/>
      <c r="V124" s="2086"/>
      <c r="W124" s="2087"/>
      <c r="X124" s="1004"/>
      <c r="Y124" s="982"/>
      <c r="Z124" s="982"/>
      <c r="AA124" s="982"/>
      <c r="AB124" s="982"/>
      <c r="AC124" s="982"/>
      <c r="AD124" s="982"/>
      <c r="AE124" s="982"/>
      <c r="AF124" s="1881"/>
      <c r="AG124" s="1004"/>
      <c r="AH124" s="982"/>
      <c r="AI124" s="982"/>
      <c r="AJ124" s="982"/>
      <c r="AK124" s="982"/>
      <c r="AL124" s="982"/>
      <c r="AM124" s="982"/>
      <c r="AN124" s="1881"/>
    </row>
    <row r="125" spans="2:40" ht="3" customHeight="1">
      <c r="B125" s="1994"/>
      <c r="C125" s="1897"/>
      <c r="D125" s="1898"/>
      <c r="E125" s="1898"/>
      <c r="F125" s="1898"/>
      <c r="G125" s="1898"/>
      <c r="H125" s="1898"/>
      <c r="I125" s="1898"/>
      <c r="J125" s="1898"/>
      <c r="K125" s="1898"/>
      <c r="L125" s="1898"/>
      <c r="M125" s="1898"/>
      <c r="N125" s="1898"/>
      <c r="O125" s="1899"/>
      <c r="P125" s="2088"/>
      <c r="Q125" s="2089"/>
      <c r="R125" s="2089"/>
      <c r="S125" s="2089"/>
      <c r="T125" s="2089"/>
      <c r="U125" s="2089"/>
      <c r="V125" s="2089"/>
      <c r="W125" s="2090"/>
      <c r="X125" s="1897"/>
      <c r="Y125" s="1898"/>
      <c r="Z125" s="1898"/>
      <c r="AA125" s="1898"/>
      <c r="AB125" s="1898"/>
      <c r="AC125" s="1898"/>
      <c r="AD125" s="1898"/>
      <c r="AE125" s="1898"/>
      <c r="AF125" s="1899"/>
      <c r="AG125" s="1897"/>
      <c r="AH125" s="1898"/>
      <c r="AI125" s="1898"/>
      <c r="AJ125" s="1898"/>
      <c r="AK125" s="1898"/>
      <c r="AL125" s="1898"/>
      <c r="AM125" s="1898"/>
      <c r="AN125" s="1899"/>
    </row>
    <row r="126" spans="2:40" s="16" customFormat="1" ht="15" customHeight="1">
      <c r="B126" s="145" t="s">
        <v>65</v>
      </c>
      <c r="C126" s="145" t="s">
        <v>64</v>
      </c>
      <c r="D126" s="1861"/>
      <c r="E126" s="1861"/>
      <c r="F126" s="1861"/>
      <c r="G126" s="1861"/>
      <c r="H126" s="1861"/>
      <c r="I126" s="1861"/>
      <c r="J126" s="1861"/>
      <c r="K126" s="1861"/>
      <c r="L126" s="1861"/>
      <c r="M126" s="1861"/>
      <c r="N126" s="1861"/>
      <c r="O126" s="1862"/>
      <c r="P126" s="145" t="s">
        <v>66</v>
      </c>
      <c r="Q126" s="1861"/>
      <c r="R126" s="1861"/>
      <c r="S126" s="1861"/>
      <c r="T126" s="1861"/>
      <c r="U126" s="1861"/>
      <c r="V126" s="1861"/>
      <c r="W126" s="1862"/>
      <c r="X126" s="145" t="s">
        <v>67</v>
      </c>
      <c r="Y126" s="1861"/>
      <c r="Z126" s="1861"/>
      <c r="AA126" s="1861"/>
      <c r="AB126" s="1861"/>
      <c r="AC126" s="1861"/>
      <c r="AD126" s="1861"/>
      <c r="AE126" s="1861"/>
      <c r="AF126" s="1862"/>
      <c r="AG126" s="1861" t="s">
        <v>68</v>
      </c>
      <c r="AH126" s="1861"/>
      <c r="AI126" s="1861"/>
      <c r="AJ126" s="1861"/>
      <c r="AK126" s="1861"/>
      <c r="AL126" s="1861"/>
      <c r="AM126" s="1861"/>
      <c r="AN126" s="1862"/>
    </row>
    <row r="127" spans="2:40" ht="15" customHeight="1">
      <c r="B127" s="1304" t="s">
        <v>386</v>
      </c>
      <c r="C127" s="2118"/>
      <c r="D127" s="1314"/>
      <c r="E127" s="1314"/>
      <c r="F127" s="1314"/>
      <c r="G127" s="1314"/>
      <c r="H127" s="1314"/>
      <c r="I127" s="1314"/>
      <c r="J127" s="1314"/>
      <c r="K127" s="1314"/>
      <c r="L127" s="1314"/>
      <c r="M127" s="1314"/>
      <c r="N127" s="1314"/>
      <c r="O127" s="1315"/>
      <c r="P127" s="2148"/>
      <c r="Q127" s="2149"/>
      <c r="R127" s="2149"/>
      <c r="S127" s="2149"/>
      <c r="T127" s="2149"/>
      <c r="U127" s="2149"/>
      <c r="V127" s="2149"/>
      <c r="W127" s="2150"/>
      <c r="X127" s="2154"/>
      <c r="Y127" s="2155"/>
      <c r="Z127" s="2155"/>
      <c r="AA127" s="2155"/>
      <c r="AB127" s="2155"/>
      <c r="AC127" s="2155"/>
      <c r="AD127" s="2155"/>
      <c r="AE127" s="2155"/>
      <c r="AF127" s="2156"/>
      <c r="AG127" s="2163"/>
      <c r="AH127" s="2164"/>
      <c r="AI127" s="2164"/>
      <c r="AJ127" s="2164"/>
      <c r="AK127" s="2164"/>
      <c r="AL127" s="2164"/>
      <c r="AM127" s="2164"/>
      <c r="AN127" s="253"/>
    </row>
    <row r="128" spans="2:40" ht="6" customHeight="1">
      <c r="B128" s="1294"/>
      <c r="C128" s="2119"/>
      <c r="D128" s="1312"/>
      <c r="E128" s="1312"/>
      <c r="F128" s="1312"/>
      <c r="G128" s="1312"/>
      <c r="H128" s="1312"/>
      <c r="I128" s="1312"/>
      <c r="J128" s="1312"/>
      <c r="K128" s="1312"/>
      <c r="L128" s="1312"/>
      <c r="M128" s="1312"/>
      <c r="N128" s="1312"/>
      <c r="O128" s="1313"/>
      <c r="P128" s="2151"/>
      <c r="Q128" s="2152"/>
      <c r="R128" s="2152"/>
      <c r="S128" s="2152"/>
      <c r="T128" s="2152"/>
      <c r="U128" s="2152"/>
      <c r="V128" s="2152"/>
      <c r="W128" s="2153"/>
      <c r="X128" s="2157"/>
      <c r="Y128" s="2158"/>
      <c r="Z128" s="2158"/>
      <c r="AA128" s="2158"/>
      <c r="AB128" s="2158"/>
      <c r="AC128" s="2158"/>
      <c r="AD128" s="2158"/>
      <c r="AE128" s="2158"/>
      <c r="AF128" s="2159"/>
      <c r="AG128" s="2165"/>
      <c r="AH128" s="2166"/>
      <c r="AI128" s="2166"/>
      <c r="AJ128" s="2166"/>
      <c r="AK128" s="2166"/>
      <c r="AL128" s="2166"/>
      <c r="AM128" s="2166"/>
      <c r="AN128" s="254"/>
    </row>
    <row r="129" spans="2:40" ht="3" customHeight="1">
      <c r="B129" s="141"/>
      <c r="C129" s="2119"/>
      <c r="D129" s="1312"/>
      <c r="E129" s="1312"/>
      <c r="F129" s="1312"/>
      <c r="G129" s="1312"/>
      <c r="H129" s="1312"/>
      <c r="I129" s="1312"/>
      <c r="J129" s="1312"/>
      <c r="K129" s="1312"/>
      <c r="L129" s="1312"/>
      <c r="M129" s="1312"/>
      <c r="N129" s="1312"/>
      <c r="O129" s="1313"/>
      <c r="P129" s="2151"/>
      <c r="Q129" s="2152"/>
      <c r="R129" s="2152"/>
      <c r="S129" s="2152"/>
      <c r="T129" s="2152"/>
      <c r="U129" s="2152"/>
      <c r="V129" s="2152"/>
      <c r="W129" s="2153"/>
      <c r="X129" s="2160"/>
      <c r="Y129" s="2161"/>
      <c r="Z129" s="2161"/>
      <c r="AA129" s="2161"/>
      <c r="AB129" s="2161"/>
      <c r="AC129" s="2161"/>
      <c r="AD129" s="2161"/>
      <c r="AE129" s="2161"/>
      <c r="AF129" s="2162"/>
      <c r="AG129" s="252"/>
      <c r="AH129" s="252"/>
      <c r="AI129" s="252"/>
      <c r="AJ129" s="252"/>
      <c r="AK129" s="252"/>
      <c r="AL129" s="252"/>
      <c r="AM129" s="252"/>
      <c r="AN129" s="283"/>
    </row>
    <row r="130" spans="2:40" ht="15" customHeight="1">
      <c r="B130" s="1304" t="s">
        <v>387</v>
      </c>
      <c r="C130" s="2118"/>
      <c r="D130" s="1314"/>
      <c r="E130" s="1314"/>
      <c r="F130" s="1314"/>
      <c r="G130" s="1314"/>
      <c r="H130" s="1314"/>
      <c r="I130" s="1314"/>
      <c r="J130" s="1314"/>
      <c r="K130" s="1314"/>
      <c r="L130" s="1314"/>
      <c r="M130" s="1314"/>
      <c r="N130" s="1314"/>
      <c r="O130" s="1315"/>
      <c r="P130" s="2148"/>
      <c r="Q130" s="2149"/>
      <c r="R130" s="2149"/>
      <c r="S130" s="2149"/>
      <c r="T130" s="2149"/>
      <c r="U130" s="2149"/>
      <c r="V130" s="2149"/>
      <c r="W130" s="2150"/>
      <c r="X130" s="2154"/>
      <c r="Y130" s="2155"/>
      <c r="Z130" s="2155"/>
      <c r="AA130" s="2155"/>
      <c r="AB130" s="2155"/>
      <c r="AC130" s="2155"/>
      <c r="AD130" s="2155"/>
      <c r="AE130" s="2155"/>
      <c r="AF130" s="2156"/>
      <c r="AG130" s="1869"/>
      <c r="AH130" s="1870"/>
      <c r="AI130" s="1870"/>
      <c r="AJ130" s="1870"/>
      <c r="AK130" s="1870"/>
      <c r="AL130" s="1870"/>
      <c r="AM130" s="1870"/>
      <c r="AN130" s="1385"/>
    </row>
    <row r="131" spans="2:40" ht="6" customHeight="1">
      <c r="B131" s="1294"/>
      <c r="C131" s="2119"/>
      <c r="D131" s="1312"/>
      <c r="E131" s="1312"/>
      <c r="F131" s="1312"/>
      <c r="G131" s="1312"/>
      <c r="H131" s="1312"/>
      <c r="I131" s="1312"/>
      <c r="J131" s="1312"/>
      <c r="K131" s="1312"/>
      <c r="L131" s="1312"/>
      <c r="M131" s="1312"/>
      <c r="N131" s="1312"/>
      <c r="O131" s="1313"/>
      <c r="P131" s="2151"/>
      <c r="Q131" s="2152"/>
      <c r="R131" s="2152"/>
      <c r="S131" s="2152"/>
      <c r="T131" s="2152"/>
      <c r="U131" s="2152"/>
      <c r="V131" s="2152"/>
      <c r="W131" s="2153"/>
      <c r="X131" s="2157"/>
      <c r="Y131" s="2158"/>
      <c r="Z131" s="2158"/>
      <c r="AA131" s="2158"/>
      <c r="AB131" s="2158"/>
      <c r="AC131" s="2158"/>
      <c r="AD131" s="2158"/>
      <c r="AE131" s="2158"/>
      <c r="AF131" s="2159"/>
      <c r="AG131" s="376"/>
      <c r="AH131" s="246"/>
      <c r="AI131" s="246"/>
      <c r="AJ131" s="246"/>
      <c r="AK131" s="246"/>
      <c r="AL131" s="246"/>
      <c r="AM131" s="246"/>
      <c r="AN131" s="1320"/>
    </row>
    <row r="132" spans="2:40" ht="3" customHeight="1">
      <c r="B132" s="141"/>
      <c r="C132" s="2119"/>
      <c r="D132" s="1312"/>
      <c r="E132" s="1312"/>
      <c r="F132" s="1312"/>
      <c r="G132" s="1312"/>
      <c r="H132" s="1312"/>
      <c r="I132" s="1312"/>
      <c r="J132" s="1312"/>
      <c r="K132" s="1312"/>
      <c r="L132" s="1312"/>
      <c r="M132" s="1312"/>
      <c r="N132" s="1312"/>
      <c r="O132" s="1313"/>
      <c r="P132" s="2151"/>
      <c r="Q132" s="2152"/>
      <c r="R132" s="2152"/>
      <c r="S132" s="2152"/>
      <c r="T132" s="2152"/>
      <c r="U132" s="2152"/>
      <c r="V132" s="2152"/>
      <c r="W132" s="2153"/>
      <c r="X132" s="2160"/>
      <c r="Y132" s="2161"/>
      <c r="Z132" s="2161"/>
      <c r="AA132" s="2161"/>
      <c r="AB132" s="2161"/>
      <c r="AC132" s="2161"/>
      <c r="AD132" s="2161"/>
      <c r="AE132" s="2161"/>
      <c r="AF132" s="2162"/>
      <c r="AG132" s="246"/>
      <c r="AH132" s="246"/>
      <c r="AI132" s="246"/>
      <c r="AJ132" s="246"/>
      <c r="AK132" s="246"/>
      <c r="AL132" s="246"/>
      <c r="AM132" s="246"/>
      <c r="AN132" s="1320"/>
    </row>
    <row r="133" spans="2:40" ht="15" customHeight="1">
      <c r="B133" s="1304" t="s">
        <v>388</v>
      </c>
      <c r="C133" s="2118"/>
      <c r="D133" s="1314"/>
      <c r="E133" s="1314"/>
      <c r="F133" s="1314"/>
      <c r="G133" s="1314"/>
      <c r="H133" s="1314"/>
      <c r="I133" s="1314"/>
      <c r="J133" s="1314"/>
      <c r="K133" s="1314"/>
      <c r="L133" s="1314"/>
      <c r="M133" s="1314"/>
      <c r="N133" s="1314"/>
      <c r="O133" s="1315"/>
      <c r="P133" s="2148"/>
      <c r="Q133" s="2149"/>
      <c r="R133" s="2149"/>
      <c r="S133" s="2149"/>
      <c r="T133" s="2149"/>
      <c r="U133" s="2149"/>
      <c r="V133" s="2149"/>
      <c r="W133" s="2150"/>
      <c r="X133" s="2154"/>
      <c r="Y133" s="2155"/>
      <c r="Z133" s="2155"/>
      <c r="AA133" s="2155"/>
      <c r="AB133" s="2155"/>
      <c r="AC133" s="2155"/>
      <c r="AD133" s="2155"/>
      <c r="AE133" s="2155"/>
      <c r="AF133" s="2156"/>
      <c r="AG133" s="1869"/>
      <c r="AH133" s="1870"/>
      <c r="AI133" s="1870"/>
      <c r="AJ133" s="1870"/>
      <c r="AK133" s="1870"/>
      <c r="AL133" s="1870"/>
      <c r="AM133" s="1870"/>
      <c r="AN133" s="1386"/>
    </row>
    <row r="134" spans="2:40" ht="6" customHeight="1">
      <c r="B134" s="1294"/>
      <c r="C134" s="2119"/>
      <c r="D134" s="1312"/>
      <c r="E134" s="1312"/>
      <c r="F134" s="1312"/>
      <c r="G134" s="1312"/>
      <c r="H134" s="1312"/>
      <c r="I134" s="1312"/>
      <c r="J134" s="1312"/>
      <c r="K134" s="1312"/>
      <c r="L134" s="1312"/>
      <c r="M134" s="1312"/>
      <c r="N134" s="1312"/>
      <c r="O134" s="1313"/>
      <c r="P134" s="2151"/>
      <c r="Q134" s="2152"/>
      <c r="R134" s="2152"/>
      <c r="S134" s="2152"/>
      <c r="T134" s="2152"/>
      <c r="U134" s="2152"/>
      <c r="V134" s="2152"/>
      <c r="W134" s="2153"/>
      <c r="X134" s="2157"/>
      <c r="Y134" s="2158"/>
      <c r="Z134" s="2158"/>
      <c r="AA134" s="2158"/>
      <c r="AB134" s="2158"/>
      <c r="AC134" s="2158"/>
      <c r="AD134" s="2158"/>
      <c r="AE134" s="2158"/>
      <c r="AF134" s="2159"/>
      <c r="AG134" s="376"/>
      <c r="AH134" s="246"/>
      <c r="AI134" s="246"/>
      <c r="AJ134" s="246"/>
      <c r="AK134" s="246"/>
      <c r="AL134" s="246"/>
      <c r="AM134" s="246"/>
      <c r="AN134" s="286"/>
    </row>
    <row r="135" spans="2:40" ht="3" customHeight="1">
      <c r="B135" s="141"/>
      <c r="C135" s="2119"/>
      <c r="D135" s="1312"/>
      <c r="E135" s="1312"/>
      <c r="F135" s="1312"/>
      <c r="G135" s="1312"/>
      <c r="H135" s="1312"/>
      <c r="I135" s="1312"/>
      <c r="J135" s="1312"/>
      <c r="K135" s="1312"/>
      <c r="L135" s="1312"/>
      <c r="M135" s="1312"/>
      <c r="N135" s="1312"/>
      <c r="O135" s="1313"/>
      <c r="P135" s="2151"/>
      <c r="Q135" s="2152"/>
      <c r="R135" s="2152"/>
      <c r="S135" s="2152"/>
      <c r="T135" s="2152"/>
      <c r="U135" s="2152"/>
      <c r="V135" s="2152"/>
      <c r="W135" s="2153"/>
      <c r="X135" s="2160"/>
      <c r="Y135" s="2161"/>
      <c r="Z135" s="2161"/>
      <c r="AA135" s="2161"/>
      <c r="AB135" s="2161"/>
      <c r="AC135" s="2161"/>
      <c r="AD135" s="2161"/>
      <c r="AE135" s="2161"/>
      <c r="AF135" s="2162"/>
      <c r="AG135" s="246"/>
      <c r="AH135" s="246"/>
      <c r="AI135" s="246"/>
      <c r="AJ135" s="246"/>
      <c r="AK135" s="246"/>
      <c r="AL135" s="246"/>
      <c r="AM135" s="246"/>
      <c r="AN135" s="762"/>
    </row>
    <row r="136" spans="2:40" ht="15" customHeight="1">
      <c r="B136" s="1304" t="s">
        <v>389</v>
      </c>
      <c r="C136" s="2118"/>
      <c r="D136" s="1314"/>
      <c r="E136" s="1314"/>
      <c r="F136" s="1314"/>
      <c r="G136" s="1314"/>
      <c r="H136" s="1314"/>
      <c r="I136" s="1314"/>
      <c r="J136" s="1314"/>
      <c r="K136" s="1314"/>
      <c r="L136" s="1314"/>
      <c r="M136" s="1314"/>
      <c r="N136" s="1314"/>
      <c r="O136" s="1315"/>
      <c r="P136" s="2148"/>
      <c r="Q136" s="2149"/>
      <c r="R136" s="2149"/>
      <c r="S136" s="2149"/>
      <c r="T136" s="2149"/>
      <c r="U136" s="2149"/>
      <c r="V136" s="2149"/>
      <c r="W136" s="2150"/>
      <c r="X136" s="2154"/>
      <c r="Y136" s="2155"/>
      <c r="Z136" s="2155"/>
      <c r="AA136" s="2155"/>
      <c r="AB136" s="2155"/>
      <c r="AC136" s="2155"/>
      <c r="AD136" s="2155"/>
      <c r="AE136" s="2155"/>
      <c r="AF136" s="2156"/>
      <c r="AG136" s="1869"/>
      <c r="AH136" s="1870"/>
      <c r="AI136" s="1870"/>
      <c r="AJ136" s="1870"/>
      <c r="AK136" s="1870"/>
      <c r="AL136" s="1870"/>
      <c r="AM136" s="1870"/>
      <c r="AN136" s="1386"/>
    </row>
    <row r="137" spans="2:40" ht="3.75" customHeight="1">
      <c r="B137" s="1294"/>
      <c r="C137" s="2119"/>
      <c r="D137" s="1312"/>
      <c r="E137" s="1312"/>
      <c r="F137" s="1312"/>
      <c r="G137" s="1312"/>
      <c r="H137" s="1312"/>
      <c r="I137" s="1312"/>
      <c r="J137" s="1312"/>
      <c r="K137" s="1312"/>
      <c r="L137" s="1312"/>
      <c r="M137" s="1312"/>
      <c r="N137" s="1312"/>
      <c r="O137" s="1313"/>
      <c r="P137" s="2151"/>
      <c r="Q137" s="2152"/>
      <c r="R137" s="2152"/>
      <c r="S137" s="2152"/>
      <c r="T137" s="2152"/>
      <c r="U137" s="2152"/>
      <c r="V137" s="2152"/>
      <c r="W137" s="2153"/>
      <c r="X137" s="2157"/>
      <c r="Y137" s="2158"/>
      <c r="Z137" s="2158"/>
      <c r="AA137" s="2158"/>
      <c r="AB137" s="2158"/>
      <c r="AC137" s="2158"/>
      <c r="AD137" s="2158"/>
      <c r="AE137" s="2158"/>
      <c r="AF137" s="2159"/>
      <c r="AG137" s="376"/>
      <c r="AH137" s="246"/>
      <c r="AI137" s="246"/>
      <c r="AJ137" s="246"/>
      <c r="AK137" s="246"/>
      <c r="AL137" s="246"/>
      <c r="AM137" s="246"/>
      <c r="AN137" s="286"/>
    </row>
    <row r="138" spans="2:40" ht="3" customHeight="1">
      <c r="B138" s="141"/>
      <c r="C138" s="2119"/>
      <c r="D138" s="1312"/>
      <c r="E138" s="1312"/>
      <c r="F138" s="1312"/>
      <c r="G138" s="1312"/>
      <c r="H138" s="1312"/>
      <c r="I138" s="1312"/>
      <c r="J138" s="1312"/>
      <c r="K138" s="1312"/>
      <c r="L138" s="1312"/>
      <c r="M138" s="1312"/>
      <c r="N138" s="1312"/>
      <c r="O138" s="1313"/>
      <c r="P138" s="2151"/>
      <c r="Q138" s="2152"/>
      <c r="R138" s="2152"/>
      <c r="S138" s="2152"/>
      <c r="T138" s="2152"/>
      <c r="U138" s="2152"/>
      <c r="V138" s="2152"/>
      <c r="W138" s="2153"/>
      <c r="X138" s="2160"/>
      <c r="Y138" s="2161"/>
      <c r="Z138" s="2161"/>
      <c r="AA138" s="2161"/>
      <c r="AB138" s="2161"/>
      <c r="AC138" s="2161"/>
      <c r="AD138" s="2161"/>
      <c r="AE138" s="2161"/>
      <c r="AF138" s="2162"/>
      <c r="AG138" s="246"/>
      <c r="AH138" s="246"/>
      <c r="AI138" s="246"/>
      <c r="AJ138" s="246"/>
      <c r="AK138" s="246"/>
      <c r="AL138" s="246"/>
      <c r="AM138" s="246"/>
      <c r="AN138" s="762"/>
    </row>
    <row r="139" spans="2:40" ht="15" customHeight="1">
      <c r="B139" s="1304" t="s">
        <v>390</v>
      </c>
      <c r="C139" s="2118"/>
      <c r="D139" s="1314"/>
      <c r="E139" s="1314"/>
      <c r="F139" s="1314"/>
      <c r="G139" s="1314"/>
      <c r="H139" s="1314"/>
      <c r="I139" s="1314"/>
      <c r="J139" s="1314"/>
      <c r="K139" s="1314"/>
      <c r="L139" s="1314"/>
      <c r="M139" s="1314"/>
      <c r="N139" s="1314"/>
      <c r="O139" s="1315"/>
      <c r="P139" s="2148"/>
      <c r="Q139" s="2149"/>
      <c r="R139" s="2149"/>
      <c r="S139" s="2149"/>
      <c r="T139" s="2149"/>
      <c r="U139" s="2149"/>
      <c r="V139" s="2149"/>
      <c r="W139" s="2150"/>
      <c r="X139" s="2154"/>
      <c r="Y139" s="2155"/>
      <c r="Z139" s="2155"/>
      <c r="AA139" s="2155"/>
      <c r="AB139" s="2155"/>
      <c r="AC139" s="2155"/>
      <c r="AD139" s="2155"/>
      <c r="AE139" s="2155"/>
      <c r="AF139" s="2156"/>
      <c r="AG139" s="1869"/>
      <c r="AH139" s="1870"/>
      <c r="AI139" s="1870"/>
      <c r="AJ139" s="1870"/>
      <c r="AK139" s="1870"/>
      <c r="AL139" s="1870"/>
      <c r="AM139" s="1870"/>
      <c r="AN139" s="1386"/>
    </row>
    <row r="140" spans="2:40" ht="3.75" customHeight="1">
      <c r="B140" s="1294"/>
      <c r="C140" s="2119"/>
      <c r="D140" s="1312"/>
      <c r="E140" s="1312"/>
      <c r="F140" s="1312"/>
      <c r="G140" s="1312"/>
      <c r="H140" s="1312"/>
      <c r="I140" s="1312"/>
      <c r="J140" s="1312"/>
      <c r="K140" s="1312"/>
      <c r="L140" s="1312"/>
      <c r="M140" s="1312"/>
      <c r="N140" s="1312"/>
      <c r="O140" s="1313"/>
      <c r="P140" s="2151"/>
      <c r="Q140" s="2152"/>
      <c r="R140" s="2152"/>
      <c r="S140" s="2152"/>
      <c r="T140" s="2152"/>
      <c r="U140" s="2152"/>
      <c r="V140" s="2152"/>
      <c r="W140" s="2153"/>
      <c r="X140" s="2157"/>
      <c r="Y140" s="2158"/>
      <c r="Z140" s="2158"/>
      <c r="AA140" s="2158"/>
      <c r="AB140" s="2158"/>
      <c r="AC140" s="2158"/>
      <c r="AD140" s="2158"/>
      <c r="AE140" s="2158"/>
      <c r="AF140" s="2159"/>
      <c r="AG140" s="376"/>
      <c r="AH140" s="246"/>
      <c r="AI140" s="246"/>
      <c r="AJ140" s="246"/>
      <c r="AK140" s="246"/>
      <c r="AL140" s="246"/>
      <c r="AM140" s="246"/>
      <c r="AN140" s="286"/>
    </row>
    <row r="141" spans="2:40" ht="3" customHeight="1">
      <c r="B141" s="1900"/>
      <c r="C141" s="2167"/>
      <c r="D141" s="2168"/>
      <c r="E141" s="2168"/>
      <c r="F141" s="2168"/>
      <c r="G141" s="2168"/>
      <c r="H141" s="2168"/>
      <c r="I141" s="2168"/>
      <c r="J141" s="2168"/>
      <c r="K141" s="2168"/>
      <c r="L141" s="2168"/>
      <c r="M141" s="2168"/>
      <c r="N141" s="2168"/>
      <c r="O141" s="2169"/>
      <c r="P141" s="2170"/>
      <c r="Q141" s="2171"/>
      <c r="R141" s="2171"/>
      <c r="S141" s="2171"/>
      <c r="T141" s="2171"/>
      <c r="U141" s="2171"/>
      <c r="V141" s="2171"/>
      <c r="W141" s="2172"/>
      <c r="X141" s="2173"/>
      <c r="Y141" s="2174"/>
      <c r="Z141" s="2174"/>
      <c r="AA141" s="2174"/>
      <c r="AB141" s="2174"/>
      <c r="AC141" s="2174"/>
      <c r="AD141" s="2174"/>
      <c r="AE141" s="2174"/>
      <c r="AF141" s="2175"/>
      <c r="AG141" s="310"/>
      <c r="AH141" s="310"/>
      <c r="AI141" s="310"/>
      <c r="AJ141" s="310"/>
      <c r="AK141" s="310"/>
      <c r="AL141" s="310"/>
      <c r="AM141" s="310"/>
      <c r="AN141" s="311"/>
    </row>
    <row r="142" spans="2:40" customHeight="1" thickBot="1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</row>
    <row r="143" spans="2:36" ht="15" customHeight="1" thickBot="1">
      <c r="B143" s="969" t="s">
        <v>736</v>
      </c>
      <c r="C143" s="317"/>
      <c r="D143" s="317"/>
      <c r="E143" s="317"/>
      <c r="F143" s="317"/>
      <c r="G143" s="317"/>
      <c r="H143" s="317"/>
      <c r="I143" s="317"/>
      <c r="J143" s="317"/>
      <c r="K143" s="317"/>
      <c r="L143" s="317"/>
      <c r="M143" s="317"/>
      <c r="N143" s="317"/>
      <c r="O143" s="317"/>
      <c r="P143" s="317"/>
      <c r="Q143" s="317"/>
      <c r="R143" s="317"/>
      <c r="S143" s="318"/>
      <c r="T143" s="319"/>
      <c r="U143" s="53"/>
      <c r="V143" s="53"/>
      <c r="W143" s="53"/>
      <c r="X143" s="53"/>
      <c r="Y143" s="53"/>
      <c r="Z143" s="53"/>
      <c r="AC143" s="62" t="s">
        <v>737</v>
      </c>
      <c r="AD143" s="62"/>
      <c r="AE143" s="62"/>
      <c r="AF143"/>
      <c r="AG143" s="1387">
        <v>2</v>
      </c>
      <c r="AH143" s="58" t="s">
        <v>738</v>
      </c>
      <c r="AI143" s="1387">
        <v>2</v>
      </c>
      <c r="AJ143" s="62" t="s">
        <v>767</v>
      </c>
    </row>
    <row r="144" spans="1:41" customHeight="1">
      <c r="A144" s="1"/>
      <c r="B144" s="4"/>
      <c r="C144" s="4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O144" s="55"/>
    </row>
    <row r="147" spans="21:21" customHeight="1">
      <c r="U147" s="22"/>
    </row>
  </sheetData>
  <sheetProtection password="BDAF" sheet="1" objects="1" scenarios="1" selectLockedCells="1" selectUnlockedCells="1"/>
  <mergeCells count="200">
    <mergeCell ref="B139:B141"/>
    <mergeCell ref="C139:O141"/>
    <mergeCell ref="P139:W141"/>
    <mergeCell ref="X139:AF141"/>
    <mergeCell ref="AG139:AM140"/>
    <mergeCell ref="B130:B131"/>
    <mergeCell ref="C130:O132"/>
    <mergeCell ref="P130:W132"/>
    <mergeCell ref="X130:AF132"/>
    <mergeCell ref="AG130:AM131"/>
    <mergeCell ref="B133:B134"/>
    <mergeCell ref="C133:O135"/>
    <mergeCell ref="P133:W135"/>
    <mergeCell ref="X133:AF135"/>
    <mergeCell ref="AG133:AM134"/>
    <mergeCell ref="AD76:AN77"/>
    <mergeCell ref="B136:B137"/>
    <mergeCell ref="C136:O138"/>
    <mergeCell ref="P136:W138"/>
    <mergeCell ref="X136:AF138"/>
    <mergeCell ref="AG136:AM137"/>
    <mergeCell ref="C126:O126"/>
    <mergeCell ref="P126:W126"/>
    <mergeCell ref="X126:AF126"/>
    <mergeCell ref="AG126:AN126"/>
    <mergeCell ref="B127:B128"/>
    <mergeCell ref="C127:O129"/>
    <mergeCell ref="P127:W129"/>
    <mergeCell ref="X127:AF129"/>
    <mergeCell ref="AG127:AM128"/>
    <mergeCell ref="C115:Y117"/>
    <mergeCell ref="AD115:AM116"/>
    <mergeCell ref="B123:B125"/>
    <mergeCell ref="C123:O125"/>
    <mergeCell ref="P123:W125"/>
    <mergeCell ref="X123:AF125"/>
    <mergeCell ref="AG123:AN125"/>
    <mergeCell ref="B103:B104"/>
    <mergeCell ref="B106:B107"/>
    <mergeCell ref="Z112:AC113"/>
    <mergeCell ref="C112:D113"/>
    <mergeCell ref="E112:O113"/>
    <mergeCell ref="AD112:AN113"/>
    <mergeCell ref="B96:B98"/>
    <mergeCell ref="C96:D98"/>
    <mergeCell ref="E96:O96"/>
    <mergeCell ref="P96:Y96"/>
    <mergeCell ref="Z96:AC96"/>
    <mergeCell ref="AD96:AN97"/>
    <mergeCell ref="E97:O97"/>
    <mergeCell ref="P97:Y97"/>
    <mergeCell ref="Z97:AC97"/>
    <mergeCell ref="B109:B110"/>
    <mergeCell ref="C109:D110"/>
    <mergeCell ref="E109:O110"/>
    <mergeCell ref="AD109:AN110"/>
    <mergeCell ref="B100:B101"/>
    <mergeCell ref="E100:O102"/>
    <mergeCell ref="AD100:AN101"/>
    <mergeCell ref="Z100:AC101"/>
    <mergeCell ref="Z103:AC104"/>
    <mergeCell ref="Z106:AC107"/>
    <mergeCell ref="Z109:AC110"/>
    <mergeCell ref="B82:B84"/>
    <mergeCell ref="N82:Q83"/>
    <mergeCell ref="AG82:AN83"/>
    <mergeCell ref="N85:Q86"/>
    <mergeCell ref="AG85:AN86"/>
    <mergeCell ref="C88:M90"/>
    <mergeCell ref="P88:Q90"/>
    <mergeCell ref="R88:AB89"/>
    <mergeCell ref="B76:B77"/>
    <mergeCell ref="N76:Q77"/>
    <mergeCell ref="B79:B80"/>
    <mergeCell ref="N79:Q80"/>
    <mergeCell ref="AG79:AN80"/>
    <mergeCell ref="C76:D77"/>
    <mergeCell ref="E76:M77"/>
    <mergeCell ref="R76:AC77"/>
    <mergeCell ref="C79:D80"/>
    <mergeCell ref="E79:M80"/>
    <mergeCell ref="R79:AC80"/>
    <mergeCell ref="C82:D83"/>
    <mergeCell ref="E82:M83"/>
    <mergeCell ref="R82:AC83"/>
    <mergeCell ref="C85:D86"/>
    <mergeCell ref="E85:M86"/>
    <mergeCell ref="C72:D72"/>
    <mergeCell ref="E72:M72"/>
    <mergeCell ref="N72:Q72"/>
    <mergeCell ref="R72:AC72"/>
    <mergeCell ref="AD72:AN72"/>
    <mergeCell ref="B73:B74"/>
    <mergeCell ref="E73:M75"/>
    <mergeCell ref="N73:Q74"/>
    <mergeCell ref="R73:AC75"/>
    <mergeCell ref="C73:D74"/>
    <mergeCell ref="AD73:AN74"/>
    <mergeCell ref="B69:B71"/>
    <mergeCell ref="C69:D71"/>
    <mergeCell ref="E69:M71"/>
    <mergeCell ref="N69:Q71"/>
    <mergeCell ref="R69:AC69"/>
    <mergeCell ref="AD69:AN71"/>
    <mergeCell ref="R70:AC70"/>
    <mergeCell ref="B61:B62"/>
    <mergeCell ref="R61:AB62"/>
    <mergeCell ref="AD61:AM62"/>
    <mergeCell ref="H62:Q62"/>
    <mergeCell ref="C63:Q65"/>
    <mergeCell ref="AB63:AC65"/>
    <mergeCell ref="AD63:AM65"/>
    <mergeCell ref="AD54:AM56"/>
    <mergeCell ref="B55:B56"/>
    <mergeCell ref="C55:Q56"/>
    <mergeCell ref="R55:AB56"/>
    <mergeCell ref="B58:B59"/>
    <mergeCell ref="C58:Q59"/>
    <mergeCell ref="R58:AB59"/>
    <mergeCell ref="AD58:AM59"/>
    <mergeCell ref="AD48:AM50"/>
    <mergeCell ref="B49:B50"/>
    <mergeCell ref="C49:Q50"/>
    <mergeCell ref="R49:AB50"/>
    <mergeCell ref="AD51:AM53"/>
    <mergeCell ref="B52:B53"/>
    <mergeCell ref="C52:Q53"/>
    <mergeCell ref="R52:AB53"/>
    <mergeCell ref="B43:B44"/>
    <mergeCell ref="C43:M44"/>
    <mergeCell ref="N43:Q44"/>
    <mergeCell ref="R43:AB44"/>
    <mergeCell ref="AD43:AM44"/>
    <mergeCell ref="AD45:AM47"/>
    <mergeCell ref="B46:B47"/>
    <mergeCell ref="C46:Q47"/>
    <mergeCell ref="R46:AB47"/>
    <mergeCell ref="B37:B38"/>
    <mergeCell ref="C37:Q38"/>
    <mergeCell ref="R37:AB38"/>
    <mergeCell ref="AD37:AM38"/>
    <mergeCell ref="B40:B41"/>
    <mergeCell ref="C40:P41"/>
    <mergeCell ref="R40:AB41"/>
    <mergeCell ref="AD40:AM41"/>
    <mergeCell ref="AD30:AM32"/>
    <mergeCell ref="B31:B32"/>
    <mergeCell ref="C31:Q32"/>
    <mergeCell ref="R31:AB32"/>
    <mergeCell ref="AD33:AM35"/>
    <mergeCell ref="B34:B35"/>
    <mergeCell ref="C34:P35"/>
    <mergeCell ref="R34:AB35"/>
    <mergeCell ref="B25:B26"/>
    <mergeCell ref="C25:Q26"/>
    <mergeCell ref="R25:AB26"/>
    <mergeCell ref="AD25:AM26"/>
    <mergeCell ref="AD27:AM29"/>
    <mergeCell ref="B28:B29"/>
    <mergeCell ref="C28:M29"/>
    <mergeCell ref="R28:AB29"/>
    <mergeCell ref="C20:Q20"/>
    <mergeCell ref="R20:AC20"/>
    <mergeCell ref="AD20:AN20"/>
    <mergeCell ref="B22:B23"/>
    <mergeCell ref="C22:Q23"/>
    <mergeCell ref="R22:AB23"/>
    <mergeCell ref="AD22:AM23"/>
    <mergeCell ref="B17:B19"/>
    <mergeCell ref="C17:Q19"/>
    <mergeCell ref="R17:AC17"/>
    <mergeCell ref="AD17:AN18"/>
    <mergeCell ref="R18:AC18"/>
    <mergeCell ref="R19:AC19"/>
    <mergeCell ref="AD19:AN19"/>
    <mergeCell ref="AK2:AL3"/>
    <mergeCell ref="AM2:AN3"/>
    <mergeCell ref="K3:AD3"/>
    <mergeCell ref="C5:J5"/>
    <mergeCell ref="L5:W5"/>
    <mergeCell ref="C6:J6"/>
    <mergeCell ref="B2:B8"/>
    <mergeCell ref="C2:J4"/>
    <mergeCell ref="K2:AD2"/>
    <mergeCell ref="AE2:AF8"/>
    <mergeCell ref="AG2:AH3"/>
    <mergeCell ref="AI2:AJ3"/>
    <mergeCell ref="R85:AC86"/>
    <mergeCell ref="C100:D101"/>
    <mergeCell ref="C103:D104"/>
    <mergeCell ref="E103:O104"/>
    <mergeCell ref="AD103:AN104"/>
    <mergeCell ref="C106:D107"/>
    <mergeCell ref="E106:O107"/>
    <mergeCell ref="AD106:AN107"/>
    <mergeCell ref="C99:D99"/>
    <mergeCell ref="E99:O99"/>
    <mergeCell ref="P99:Y99"/>
    <mergeCell ref="Z99:AC99"/>
    <mergeCell ref="AD99:AN99"/>
  </mergeCells>
  <printOptions horizontalCentered="1"/>
  <pageMargins left="0.7" right="0.7" top="0.75" bottom="0.75" header="0.3" footer="0.3"/>
  <pageSetup paperSize="5" scale="59" fitToHeight="0" orientation="portrait" r:id="rId1"/>
  <headerFooter alignWithMargins="0">
    <oddHeader>&amp;R&amp;"Arial,Bold"&amp;14C.2.1.&amp;P</oddHeader>
    <oddFooter>&amp;L&amp;8Page &amp;P of &amp;N&amp;R&amp;8Printed on &amp;D,&amp;T</oddFooter>
  </headerFooter>
</worksheet>
</file>

<file path=xl/worksheets/sheet1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6699"/>
    <pageSetUpPr fitToPage="1"/>
  </sheetPr>
  <dimension ref="A1:CF77"/>
  <sheetViews>
    <sheetView topLeftCell="A4" showGridLines="0" zoomScaleSheetLayoutView="100" view="pageBreakPreview" workbookViewId="0">
      <selection pane="topLeft" activeCell="R184" sqref="R184"/>
    </sheetView>
  </sheetViews>
  <sheetFormatPr defaultColWidth="9.13671875" defaultRowHeight="14" baseColWidth="0"/>
  <cols>
    <col min="1" max="4" width="1.7109375" style="1018" customWidth="1"/>
    <col min="5" max="5" width="0.85546875" style="1018" customWidth="1"/>
    <col min="6" max="7" width="1.7109375" style="1018" customWidth="1"/>
    <col min="8" max="8" width="3.28125" style="1018" customWidth="1"/>
    <col min="9" max="12" width="1.7109375" style="1018" customWidth="1"/>
    <col min="13" max="14" width="0.85546875" style="1018" customWidth="1"/>
    <col min="15" max="15" width="1.7109375" style="1018" customWidth="1"/>
    <col min="16" max="17" width="0.85546875" style="1018" customWidth="1"/>
    <col min="18" max="18" width="1.7109375" style="1018" customWidth="1"/>
    <col min="19" max="22" width="0.85546875" style="1018" customWidth="1"/>
    <col min="23" max="23" width="1.7109375" style="1018" customWidth="1"/>
    <col min="24" max="25" width="0.85546875" style="1018" customWidth="1"/>
    <col min="26" max="26" width="1.7109375" style="1018" customWidth="1"/>
    <col min="27" max="30" width="0.85546875" style="1018" customWidth="1"/>
    <col min="31" max="31" width="1.7109375" style="1018" customWidth="1"/>
    <col min="32" max="33" width="0.85546875" style="1018" customWidth="1"/>
    <col min="34" max="34" width="1.7109375" style="1018" customWidth="1"/>
    <col min="35" max="38" width="0.85546875" style="1018" customWidth="1"/>
    <col min="39" max="39" width="1.7109375" style="1018" customWidth="1"/>
    <col min="40" max="41" width="0.85546875" style="1018" customWidth="1"/>
    <col min="42" max="42" width="1.7109375" style="1018" customWidth="1"/>
    <col min="43" max="46" width="0.85546875" style="1018" customWidth="1"/>
    <col min="47" max="47" width="1.7109375" style="1018" customWidth="1"/>
    <col min="48" max="49" width="0.85546875" style="1018" customWidth="1"/>
    <col min="50" max="50" width="1.7109375" style="1018" customWidth="1"/>
    <col min="51" max="54" width="0.85546875" style="1018" customWidth="1"/>
    <col min="55" max="55" width="1.7109375" style="1018" customWidth="1"/>
    <col min="56" max="57" width="0.85546875" style="1018" customWidth="1"/>
    <col min="58" max="75" width="1.7109375" style="1018" customWidth="1"/>
    <col min="76" max="76" width="2.28125" style="1018" customWidth="1"/>
    <col min="77" max="77" width="0.85546875" style="1018" customWidth="1"/>
    <col min="78" max="78" width="2.28125" style="1018" customWidth="1"/>
    <col min="79" max="79" width="0.85546875" style="1018" customWidth="1"/>
    <col min="80" max="80" width="2.28125" style="1018" customWidth="1"/>
    <col min="81" max="81" width="0.85546875" style="1018" customWidth="1"/>
    <col min="82" max="82" width="2.28125" style="1018" customWidth="1"/>
    <col min="83" max="83" width="0.56640625" style="1018" customWidth="1"/>
    <col min="84" max="84" width="1.42578125" style="1018" customWidth="1"/>
    <col min="85" max="16384" width="9.13671875" style="1018" customWidth="1"/>
  </cols>
  <sheetData>
    <row r="1" spans="1:84" ht="21" customHeight="1">
      <c r="A1" s="1017"/>
      <c r="B1" s="2269" t="s">
        <v>1216</v>
      </c>
      <c r="C1" s="2269"/>
      <c r="D1" s="2269"/>
      <c r="E1" s="2269"/>
      <c r="F1" s="2269"/>
      <c r="G1" s="2269"/>
      <c r="H1" s="2269"/>
      <c r="I1" s="2269"/>
      <c r="J1" s="2269"/>
      <c r="K1" s="2269"/>
      <c r="L1" s="2269"/>
      <c r="M1" s="2269"/>
      <c r="N1" s="2269"/>
      <c r="O1" s="2269"/>
      <c r="P1" s="2269"/>
      <c r="Q1" s="1017"/>
      <c r="R1" s="1017"/>
      <c r="S1" s="1017"/>
      <c r="T1" s="1017"/>
      <c r="U1" s="1017"/>
      <c r="V1" s="1017"/>
      <c r="W1" s="1017"/>
      <c r="X1" s="1017"/>
      <c r="Y1" s="1017"/>
      <c r="Z1" s="1017"/>
      <c r="AA1" s="1017"/>
      <c r="AB1" s="1017"/>
      <c r="AC1" s="1017"/>
      <c r="AD1" s="1017"/>
      <c r="AE1" s="1017"/>
      <c r="AF1" s="1017"/>
      <c r="AG1" s="1017"/>
      <c r="AH1" s="1017"/>
      <c r="AI1" s="1017"/>
      <c r="AJ1" s="1017"/>
      <c r="AK1" s="1017"/>
      <c r="AL1" s="1017"/>
      <c r="AM1" s="1017"/>
      <c r="AN1" s="1017"/>
      <c r="AO1" s="1017"/>
      <c r="AP1" s="1017"/>
      <c r="AQ1" s="1017"/>
      <c r="AR1" s="1017"/>
      <c r="AS1" s="1017"/>
      <c r="AT1" s="1017"/>
      <c r="AU1" s="1017"/>
      <c r="AV1" s="1017"/>
      <c r="AW1" s="1017"/>
      <c r="AX1" s="1017"/>
      <c r="AY1" s="1017"/>
      <c r="AZ1" s="1017"/>
      <c r="BA1" s="1017"/>
      <c r="BB1" s="1017"/>
      <c r="BC1" s="1017"/>
      <c r="BD1" s="1017"/>
      <c r="BE1" s="1017"/>
      <c r="BF1" s="1017"/>
      <c r="BG1" s="1017"/>
      <c r="BH1" s="1017"/>
      <c r="BI1" s="1017"/>
      <c r="BJ1" s="1017"/>
      <c r="BK1" s="1017"/>
      <c r="BL1" s="1017"/>
      <c r="BM1" s="1017"/>
      <c r="BN1" s="1017"/>
      <c r="BO1" s="1017"/>
      <c r="BP1" s="1017"/>
      <c r="BQ1" s="1017"/>
      <c r="BR1" s="1017"/>
      <c r="BS1" s="1017"/>
      <c r="BT1" s="1017"/>
      <c r="BU1" s="1017"/>
      <c r="BV1" s="1017"/>
      <c r="BW1" s="1017"/>
      <c r="BX1" s="1017"/>
      <c r="BY1" s="1017"/>
      <c r="BZ1" s="1017"/>
      <c r="CA1" s="1017"/>
      <c r="CB1" s="1017"/>
      <c r="CC1" s="1017"/>
      <c r="CE1" s="1017"/>
      <c r="CF1" s="1017"/>
    </row>
    <row r="2" spans="1:84" ht="9" customHeight="1">
      <c r="A2" s="1019"/>
      <c r="B2" s="1020"/>
      <c r="C2" s="1020"/>
      <c r="D2" s="1018"/>
      <c r="E2" s="1018"/>
      <c r="F2" s="1018"/>
      <c r="G2" s="1018"/>
      <c r="H2" s="1018"/>
      <c r="I2" s="1018"/>
      <c r="J2" s="1018"/>
      <c r="K2" s="1018"/>
      <c r="L2" s="1018"/>
      <c r="M2" s="1018"/>
      <c r="N2" s="1018"/>
      <c r="O2" s="1018"/>
      <c r="P2" s="1018"/>
      <c r="Q2" s="1018"/>
      <c r="R2" s="1018"/>
      <c r="S2" s="1018"/>
      <c r="T2" s="1018"/>
      <c r="U2" s="1018"/>
      <c r="V2" s="1018"/>
      <c r="W2" s="1018"/>
      <c r="X2" s="1018"/>
      <c r="Y2" s="1018"/>
      <c r="Z2" s="1018"/>
      <c r="AA2" s="1018"/>
      <c r="AB2" s="1018"/>
      <c r="AC2" s="1018"/>
      <c r="AD2" s="1018"/>
      <c r="AE2" s="1018"/>
      <c r="AF2" s="1018"/>
      <c r="AG2" s="1018"/>
      <c r="AH2" s="1018"/>
      <c r="AI2" s="1018"/>
      <c r="AJ2" s="1018"/>
      <c r="AK2" s="1018"/>
      <c r="AL2" s="1018"/>
      <c r="AM2" s="1018"/>
      <c r="AN2" s="1018"/>
      <c r="AO2" s="1018"/>
      <c r="AP2" s="1018"/>
      <c r="AQ2" s="1018"/>
      <c r="AR2" s="1018"/>
      <c r="AS2" s="1018"/>
      <c r="AT2" s="1018"/>
      <c r="AU2" s="1018"/>
      <c r="AV2" s="1018"/>
      <c r="AW2" s="1018"/>
      <c r="AX2" s="1018"/>
      <c r="AY2" s="1018"/>
      <c r="AZ2" s="1018"/>
      <c r="BA2" s="1018"/>
      <c r="BB2" s="1018"/>
      <c r="BC2" s="1018"/>
      <c r="BD2" s="1018"/>
      <c r="BE2" s="1018"/>
      <c r="BF2" s="1018"/>
      <c r="BG2" s="1018"/>
      <c r="BH2" s="1018"/>
      <c r="BI2" s="1018"/>
      <c r="BJ2" s="1018"/>
      <c r="BK2" s="1018"/>
      <c r="BL2" s="1018"/>
      <c r="BM2" s="1018"/>
      <c r="BN2" s="1018"/>
      <c r="BO2" s="1018"/>
      <c r="BP2" s="1018"/>
      <c r="BQ2" s="1018"/>
      <c r="BR2" s="1018"/>
      <c r="BS2" s="1018"/>
      <c r="BT2" s="1018"/>
      <c r="BU2" s="1018"/>
      <c r="BV2" s="1018"/>
      <c r="BW2" s="1018"/>
      <c r="BX2" s="1018"/>
      <c r="BY2" s="1018"/>
      <c r="BZ2" s="1018"/>
      <c r="CA2" s="1018"/>
      <c r="CB2" s="1018"/>
      <c r="CC2" s="1020"/>
      <c r="CD2" s="1021"/>
      <c r="CE2" s="1019"/>
      <c r="CF2" s="1019"/>
    </row>
    <row r="3" spans="1:84" s="1019" customFormat="1" ht="9" customHeight="1">
      <c r="A3" s="1019"/>
      <c r="B3" s="1019"/>
      <c r="C3" s="1019"/>
      <c r="D3" s="1019"/>
      <c r="E3" s="1019"/>
      <c r="F3" s="1019"/>
      <c r="G3" s="1019"/>
      <c r="H3" s="1019"/>
      <c r="I3" s="1019"/>
      <c r="J3" s="1019"/>
      <c r="K3" s="1019"/>
      <c r="L3" s="1019"/>
      <c r="M3" s="1019"/>
      <c r="N3" s="1019"/>
      <c r="O3" s="1019"/>
      <c r="P3" s="1019"/>
      <c r="Q3" s="1019"/>
      <c r="R3" s="1019"/>
      <c r="S3" s="1019"/>
      <c r="T3" s="1019"/>
      <c r="U3" s="1019"/>
      <c r="V3" s="1019"/>
      <c r="W3" s="1019"/>
      <c r="X3" s="1019"/>
      <c r="Y3" s="1019"/>
      <c r="Z3" s="2270" t="s">
        <v>1217</v>
      </c>
      <c r="AA3" s="2271"/>
      <c r="AB3" s="2271"/>
      <c r="AC3" s="2271"/>
      <c r="AD3" s="2271"/>
      <c r="AE3" s="2271"/>
      <c r="AF3" s="2271"/>
      <c r="AG3" s="2271"/>
      <c r="AH3" s="2271"/>
      <c r="AI3" s="2271"/>
      <c r="AJ3" s="2271"/>
      <c r="AK3" s="2271"/>
      <c r="AL3" s="2271"/>
      <c r="AM3" s="2271"/>
      <c r="AN3" s="2271"/>
      <c r="AO3" s="2271"/>
      <c r="AP3" s="2271"/>
      <c r="AQ3" s="2271"/>
      <c r="AR3" s="2271"/>
      <c r="AS3" s="2271"/>
      <c r="AT3" s="2271"/>
      <c r="AU3" s="2271"/>
      <c r="AV3" s="2271"/>
      <c r="AW3" s="2271"/>
      <c r="AX3" s="2271"/>
      <c r="AY3" s="2271"/>
      <c r="AZ3" s="2271"/>
      <c r="BA3" s="2271"/>
      <c r="BB3" s="2271"/>
      <c r="BC3" s="2271"/>
      <c r="BD3" s="2271"/>
      <c r="BE3" s="2271"/>
      <c r="BF3" s="2271"/>
      <c r="BG3" s="2271"/>
      <c r="BH3" s="2271"/>
      <c r="BI3" s="2271"/>
      <c r="BJ3" s="2271"/>
      <c r="BK3" s="2272"/>
      <c r="BL3" s="1203"/>
      <c r="BM3" s="1207"/>
      <c r="BN3" s="1208"/>
      <c r="BO3" s="1208"/>
      <c r="BP3" s="1208"/>
      <c r="BQ3" s="1208"/>
      <c r="BR3" s="1208"/>
      <c r="BS3" s="1208"/>
      <c r="BT3" s="1208"/>
      <c r="BU3" s="1208"/>
      <c r="BV3" s="1208"/>
      <c r="BW3" s="1208"/>
      <c r="BX3" s="1208"/>
      <c r="BY3" s="1208"/>
      <c r="BZ3" s="1208"/>
      <c r="CA3" s="1208"/>
      <c r="CB3" s="1208"/>
      <c r="CC3" s="1208"/>
      <c r="CD3" s="1208"/>
      <c r="CE3" s="1209"/>
      <c r="CF3" s="1209"/>
    </row>
    <row r="4" spans="1:84" s="1019" customFormat="1" ht="9" customHeight="1">
      <c r="A4" s="1019"/>
      <c r="B4" s="1019"/>
      <c r="C4" s="1019"/>
      <c r="D4" s="1019"/>
      <c r="E4" s="1019"/>
      <c r="F4" s="1019"/>
      <c r="G4" s="1019"/>
      <c r="H4" s="1019"/>
      <c r="I4" s="1019"/>
      <c r="J4" s="1019"/>
      <c r="K4" s="1019"/>
      <c r="L4" s="1019"/>
      <c r="M4" s="1019"/>
      <c r="N4" s="1019"/>
      <c r="O4" s="1019"/>
      <c r="P4" s="1019"/>
      <c r="Q4" s="1019"/>
      <c r="R4" s="1019"/>
      <c r="S4" s="1019"/>
      <c r="T4" s="1019"/>
      <c r="U4" s="1019"/>
      <c r="V4" s="1019"/>
      <c r="W4" s="1019"/>
      <c r="X4" s="1019"/>
      <c r="Y4" s="1019"/>
      <c r="Z4" s="2270"/>
      <c r="AA4" s="2271"/>
      <c r="AB4" s="2271"/>
      <c r="AC4" s="2271"/>
      <c r="AD4" s="2271"/>
      <c r="AE4" s="2271"/>
      <c r="AF4" s="2271"/>
      <c r="AG4" s="2271"/>
      <c r="AH4" s="2271"/>
      <c r="AI4" s="2271"/>
      <c r="AJ4" s="2271"/>
      <c r="AK4" s="2271"/>
      <c r="AL4" s="2271"/>
      <c r="AM4" s="2271"/>
      <c r="AN4" s="2271"/>
      <c r="AO4" s="2271"/>
      <c r="AP4" s="2271"/>
      <c r="AQ4" s="2271"/>
      <c r="AR4" s="2271"/>
      <c r="AS4" s="2271"/>
      <c r="AT4" s="2271"/>
      <c r="AU4" s="2271"/>
      <c r="AV4" s="2271"/>
      <c r="AW4" s="2271"/>
      <c r="AX4" s="2271"/>
      <c r="AY4" s="2271"/>
      <c r="AZ4" s="2271"/>
      <c r="BA4" s="2271"/>
      <c r="BB4" s="2271"/>
      <c r="BC4" s="2271"/>
      <c r="BD4" s="2271"/>
      <c r="BE4" s="2271"/>
      <c r="BF4" s="2271"/>
      <c r="BG4" s="2271"/>
      <c r="BH4" s="2271"/>
      <c r="BI4" s="2271"/>
      <c r="BJ4" s="2271"/>
      <c r="BK4" s="2272"/>
      <c r="BL4" s="1203"/>
      <c r="BM4" s="1207"/>
      <c r="BN4" s="1208"/>
      <c r="BO4" s="1208"/>
      <c r="BP4" s="1208"/>
      <c r="BQ4" s="1208"/>
      <c r="BR4" s="1208"/>
      <c r="BS4" s="1208"/>
      <c r="BT4" s="1208"/>
      <c r="BU4" s="1208"/>
      <c r="BV4" s="1208"/>
      <c r="BW4" s="1208"/>
      <c r="BX4" s="1210"/>
      <c r="BY4" s="1208"/>
      <c r="BZ4" s="1211"/>
      <c r="CA4" s="1208"/>
      <c r="CB4" s="1210"/>
      <c r="CC4" s="1208"/>
      <c r="CD4" s="1211"/>
      <c r="CE4" s="1209"/>
      <c r="CF4" s="1209"/>
    </row>
    <row r="5" spans="2:84" ht="18.75" customHeight="1">
      <c r="B5" s="1027"/>
      <c r="C5" s="1027"/>
      <c r="D5" s="1027"/>
      <c r="E5" s="1027"/>
      <c r="F5" s="1027"/>
      <c r="G5" s="1027"/>
      <c r="H5" s="1027"/>
      <c r="I5" s="1027"/>
      <c r="J5" s="1027"/>
      <c r="K5" s="1027"/>
      <c r="L5" s="1027"/>
      <c r="M5" s="1027"/>
      <c r="N5" s="1027"/>
      <c r="O5" s="1027"/>
      <c r="P5" s="1027"/>
      <c r="Q5" s="1027"/>
      <c r="R5" s="1027"/>
      <c r="S5" s="1027"/>
      <c r="T5" s="1027"/>
      <c r="U5" s="1027"/>
      <c r="V5" s="1027"/>
      <c r="W5" s="1027"/>
      <c r="X5" s="1027"/>
      <c r="Y5" s="1027"/>
      <c r="Z5" s="2270"/>
      <c r="AA5" s="2271"/>
      <c r="AB5" s="2271"/>
      <c r="AC5" s="2271"/>
      <c r="AD5" s="2271"/>
      <c r="AE5" s="2271"/>
      <c r="AF5" s="2271"/>
      <c r="AG5" s="2271"/>
      <c r="AH5" s="2271"/>
      <c r="AI5" s="2271"/>
      <c r="AJ5" s="2271"/>
      <c r="AK5" s="2271"/>
      <c r="AL5" s="2271"/>
      <c r="AM5" s="2271"/>
      <c r="AN5" s="2271"/>
      <c r="AO5" s="2271"/>
      <c r="AP5" s="2271"/>
      <c r="AQ5" s="2271"/>
      <c r="AR5" s="2271"/>
      <c r="AS5" s="2271"/>
      <c r="AT5" s="2271"/>
      <c r="AU5" s="2271"/>
      <c r="AV5" s="2271"/>
      <c r="AW5" s="2271"/>
      <c r="AX5" s="2271"/>
      <c r="AY5" s="2271"/>
      <c r="AZ5" s="2271"/>
      <c r="BA5" s="2271"/>
      <c r="BB5" s="2271"/>
      <c r="BC5" s="2271"/>
      <c r="BD5" s="2271"/>
      <c r="BE5" s="2271"/>
      <c r="BF5" s="2271"/>
      <c r="BG5" s="2271"/>
      <c r="BH5" s="2271"/>
      <c r="BI5" s="2271"/>
      <c r="BJ5" s="2271"/>
      <c r="BK5" s="2272"/>
      <c r="BL5" s="1203"/>
      <c r="BM5" s="1207"/>
      <c r="BN5" s="2276" t="s">
        <v>1218</v>
      </c>
      <c r="BO5" s="2276"/>
      <c r="BP5" s="2276"/>
      <c r="BQ5" s="2276"/>
      <c r="BR5" s="2276"/>
      <c r="BS5" s="2276"/>
      <c r="BT5" s="2276"/>
      <c r="BU5" s="2276"/>
      <c r="BV5" s="2276"/>
      <c r="BW5" s="2276"/>
      <c r="BX5" s="2276"/>
      <c r="BY5" s="2276"/>
      <c r="BZ5" s="2276"/>
      <c r="CA5" s="2276"/>
      <c r="CB5" s="2276"/>
      <c r="CC5" s="2276"/>
      <c r="CD5" s="2276"/>
      <c r="CE5" s="1206"/>
      <c r="CF5" s="1212"/>
    </row>
    <row r="6" spans="2:84" ht="6" customHeight="1">
      <c r="B6" s="1027"/>
      <c r="C6" s="1027"/>
      <c r="D6" s="1027"/>
      <c r="E6" s="1027"/>
      <c r="F6" s="1027"/>
      <c r="G6" s="1027"/>
      <c r="H6" s="1027"/>
      <c r="I6" s="1027"/>
      <c r="J6" s="1027"/>
      <c r="K6" s="1027"/>
      <c r="L6" s="1027"/>
      <c r="M6" s="1027"/>
      <c r="N6" s="1027"/>
      <c r="O6" s="1027"/>
      <c r="P6" s="1027"/>
      <c r="Q6" s="1027"/>
      <c r="R6" s="1027"/>
      <c r="S6" s="1027"/>
      <c r="T6" s="1027"/>
      <c r="U6" s="1027"/>
      <c r="V6" s="1027"/>
      <c r="W6" s="1027"/>
      <c r="X6" s="1027"/>
      <c r="Y6" s="1027"/>
      <c r="Z6" s="2270"/>
      <c r="AA6" s="2271"/>
      <c r="AB6" s="2271"/>
      <c r="AC6" s="2271"/>
      <c r="AD6" s="2271"/>
      <c r="AE6" s="2271"/>
      <c r="AF6" s="2271"/>
      <c r="AG6" s="2271"/>
      <c r="AH6" s="2271"/>
      <c r="AI6" s="2271"/>
      <c r="AJ6" s="2271"/>
      <c r="AK6" s="2271"/>
      <c r="AL6" s="2271"/>
      <c r="AM6" s="2271"/>
      <c r="AN6" s="2271"/>
      <c r="AO6" s="2271"/>
      <c r="AP6" s="2271"/>
      <c r="AQ6" s="2271"/>
      <c r="AR6" s="2271"/>
      <c r="AS6" s="2271"/>
      <c r="AT6" s="2271"/>
      <c r="AU6" s="2271"/>
      <c r="AV6" s="2271"/>
      <c r="AW6" s="2271"/>
      <c r="AX6" s="2271"/>
      <c r="AY6" s="2271"/>
      <c r="AZ6" s="2271"/>
      <c r="BA6" s="2271"/>
      <c r="BB6" s="2271"/>
      <c r="BC6" s="2271"/>
      <c r="BD6" s="2271"/>
      <c r="BE6" s="2271"/>
      <c r="BF6" s="2271"/>
      <c r="BG6" s="2271"/>
      <c r="BH6" s="2271"/>
      <c r="BI6" s="2271"/>
      <c r="BJ6" s="2271"/>
      <c r="BK6" s="2272"/>
      <c r="BL6" s="2277" t="s">
        <v>1322</v>
      </c>
      <c r="BM6" s="2278"/>
      <c r="BN6" s="2278"/>
      <c r="BO6" s="2278"/>
      <c r="BP6" s="2278"/>
      <c r="BQ6" s="2278"/>
      <c r="BR6" s="2278"/>
      <c r="BS6" s="2278"/>
      <c r="BT6" s="2278"/>
      <c r="BU6" s="2278"/>
      <c r="BV6" s="2278"/>
      <c r="BW6" s="2278"/>
      <c r="BX6" s="2278"/>
      <c r="BY6" s="2278"/>
      <c r="BZ6" s="2278"/>
      <c r="CA6" s="2278"/>
      <c r="CB6" s="2278"/>
      <c r="CC6" s="2278"/>
      <c r="CD6" s="2278"/>
      <c r="CE6" s="1159"/>
      <c r="CF6" s="1159"/>
    </row>
    <row r="7" spans="2:84" ht="9" customHeight="1">
      <c r="B7" s="1027"/>
      <c r="C7" s="1027"/>
      <c r="D7" s="1027"/>
      <c r="E7" s="1027"/>
      <c r="F7" s="1027"/>
      <c r="G7" s="1027"/>
      <c r="H7" s="1027"/>
      <c r="I7" s="1027"/>
      <c r="J7" s="1027"/>
      <c r="K7" s="1027"/>
      <c r="L7" s="1027"/>
      <c r="M7" s="1027"/>
      <c r="N7" s="1027"/>
      <c r="O7" s="1027"/>
      <c r="P7" s="1027"/>
      <c r="Q7" s="1027"/>
      <c r="R7" s="1027"/>
      <c r="S7" s="1027"/>
      <c r="T7" s="1027"/>
      <c r="U7" s="1027"/>
      <c r="V7" s="1027"/>
      <c r="W7" s="1027"/>
      <c r="X7" s="1027"/>
      <c r="Y7" s="1027"/>
      <c r="Z7" s="2270"/>
      <c r="AA7" s="2271"/>
      <c r="AB7" s="2271"/>
      <c r="AC7" s="2271"/>
      <c r="AD7" s="2271"/>
      <c r="AE7" s="2271"/>
      <c r="AF7" s="2271"/>
      <c r="AG7" s="2271"/>
      <c r="AH7" s="2271"/>
      <c r="AI7" s="2271"/>
      <c r="AJ7" s="2271"/>
      <c r="AK7" s="2271"/>
      <c r="AL7" s="2271"/>
      <c r="AM7" s="2271"/>
      <c r="AN7" s="2271"/>
      <c r="AO7" s="2271"/>
      <c r="AP7" s="2271"/>
      <c r="AQ7" s="2271"/>
      <c r="AR7" s="2271"/>
      <c r="AS7" s="2271"/>
      <c r="AT7" s="2271"/>
      <c r="AU7" s="2271"/>
      <c r="AV7" s="2271"/>
      <c r="AW7" s="2271"/>
      <c r="AX7" s="2271"/>
      <c r="AY7" s="2271"/>
      <c r="AZ7" s="2271"/>
      <c r="BA7" s="2271"/>
      <c r="BB7" s="2271"/>
      <c r="BC7" s="2271"/>
      <c r="BD7" s="2271"/>
      <c r="BE7" s="2271"/>
      <c r="BF7" s="2271"/>
      <c r="BG7" s="2271"/>
      <c r="BH7" s="2271"/>
      <c r="BI7" s="2271"/>
      <c r="BJ7" s="2271"/>
      <c r="BK7" s="2272"/>
      <c r="BL7" s="2277"/>
      <c r="BM7" s="2278"/>
      <c r="BN7" s="2278"/>
      <c r="BO7" s="2278"/>
      <c r="BP7" s="2278"/>
      <c r="BQ7" s="2278"/>
      <c r="BR7" s="2278"/>
      <c r="BS7" s="2278"/>
      <c r="BT7" s="2278"/>
      <c r="BU7" s="2278"/>
      <c r="BV7" s="2278"/>
      <c r="BW7" s="2278"/>
      <c r="BX7" s="2278"/>
      <c r="BY7" s="2278"/>
      <c r="BZ7" s="2278"/>
      <c r="CA7" s="2278"/>
      <c r="CB7" s="2278"/>
      <c r="CC7" s="2278"/>
      <c r="CD7" s="2278"/>
      <c r="CE7" s="1200"/>
      <c r="CF7" s="1200"/>
    </row>
    <row r="8" spans="2:84" ht="9.75" customHeight="1">
      <c r="B8" s="1027"/>
      <c r="C8" s="1027"/>
      <c r="D8" s="1027"/>
      <c r="E8" s="1027"/>
      <c r="F8" s="1027"/>
      <c r="G8" s="1027"/>
      <c r="H8" s="1027"/>
      <c r="I8" s="1027"/>
      <c r="J8" s="1027"/>
      <c r="K8" s="1027"/>
      <c r="L8" s="1027"/>
      <c r="M8" s="1027"/>
      <c r="N8" s="1027"/>
      <c r="O8" s="1027"/>
      <c r="P8" s="1027"/>
      <c r="Q8" s="1027"/>
      <c r="R8" s="1027"/>
      <c r="S8" s="1027"/>
      <c r="T8" s="1027"/>
      <c r="U8" s="1027"/>
      <c r="V8" s="1027"/>
      <c r="W8" s="1027"/>
      <c r="X8" s="1027"/>
      <c r="Y8" s="1027"/>
      <c r="Z8" s="2270"/>
      <c r="AA8" s="2271"/>
      <c r="AB8" s="2271"/>
      <c r="AC8" s="2271"/>
      <c r="AD8" s="2271"/>
      <c r="AE8" s="2271"/>
      <c r="AF8" s="2271"/>
      <c r="AG8" s="2271"/>
      <c r="AH8" s="2271"/>
      <c r="AI8" s="2271"/>
      <c r="AJ8" s="2271"/>
      <c r="AK8" s="2271"/>
      <c r="AL8" s="2271"/>
      <c r="AM8" s="2271"/>
      <c r="AN8" s="2271"/>
      <c r="AO8" s="2271"/>
      <c r="AP8" s="2271"/>
      <c r="AQ8" s="2271"/>
      <c r="AR8" s="2271"/>
      <c r="AS8" s="2271"/>
      <c r="AT8" s="2271"/>
      <c r="AU8" s="2271"/>
      <c r="AV8" s="2271"/>
      <c r="AW8" s="2271"/>
      <c r="AX8" s="2271"/>
      <c r="AY8" s="2271"/>
      <c r="AZ8" s="2271"/>
      <c r="BA8" s="2271"/>
      <c r="BB8" s="2271"/>
      <c r="BC8" s="2271"/>
      <c r="BD8" s="2271"/>
      <c r="BE8" s="2271"/>
      <c r="BF8" s="2271"/>
      <c r="BG8" s="2271"/>
      <c r="BH8" s="2271"/>
      <c r="BI8" s="2271"/>
      <c r="BJ8" s="2271"/>
      <c r="BK8" s="2272"/>
      <c r="BL8" s="1201" t="s">
        <v>1323</v>
      </c>
      <c r="BM8" s="1202"/>
      <c r="BN8" s="1202"/>
      <c r="BO8" s="1202"/>
      <c r="BP8" s="1202"/>
      <c r="BQ8" s="1202"/>
      <c r="BR8" s="1202"/>
      <c r="BS8" s="1202"/>
      <c r="BT8" s="1202"/>
      <c r="BU8" s="1202"/>
      <c r="BV8" s="1202"/>
      <c r="BW8" s="1202"/>
      <c r="BX8" s="1202"/>
      <c r="BY8" s="1202"/>
      <c r="BZ8" s="1202"/>
      <c r="CA8" s="1202"/>
      <c r="CB8" s="1202"/>
      <c r="CC8" s="1202"/>
      <c r="CD8" s="1202"/>
      <c r="CE8" s="1202"/>
      <c r="CF8" s="1202"/>
    </row>
    <row r="9" spans="2:84" ht="6" customHeight="1">
      <c r="B9" s="1027"/>
      <c r="C9" s="1027"/>
      <c r="D9" s="1027"/>
      <c r="E9" s="1027"/>
      <c r="F9" s="1027"/>
      <c r="G9" s="1027"/>
      <c r="H9" s="1027"/>
      <c r="I9" s="1027"/>
      <c r="J9" s="1027"/>
      <c r="K9" s="1027"/>
      <c r="L9" s="1027"/>
      <c r="M9" s="1027"/>
      <c r="N9" s="1027"/>
      <c r="O9" s="1027"/>
      <c r="P9" s="1027"/>
      <c r="Q9" s="1027"/>
      <c r="R9" s="1027"/>
      <c r="S9" s="1027"/>
      <c r="T9" s="1027"/>
      <c r="U9" s="1027"/>
      <c r="V9" s="1027"/>
      <c r="W9" s="1027"/>
      <c r="X9" s="1027"/>
      <c r="Y9" s="1027"/>
      <c r="Z9" s="2270"/>
      <c r="AA9" s="2271"/>
      <c r="AB9" s="2271"/>
      <c r="AC9" s="2271"/>
      <c r="AD9" s="2271"/>
      <c r="AE9" s="2271"/>
      <c r="AF9" s="2271"/>
      <c r="AG9" s="2271"/>
      <c r="AH9" s="2271"/>
      <c r="AI9" s="2271"/>
      <c r="AJ9" s="2271"/>
      <c r="AK9" s="2271"/>
      <c r="AL9" s="2271"/>
      <c r="AM9" s="2271"/>
      <c r="AN9" s="2271"/>
      <c r="AO9" s="2271"/>
      <c r="AP9" s="2271"/>
      <c r="AQ9" s="2271"/>
      <c r="AR9" s="2271"/>
      <c r="AS9" s="2271"/>
      <c r="AT9" s="2271"/>
      <c r="AU9" s="2271"/>
      <c r="AV9" s="2271"/>
      <c r="AW9" s="2271"/>
      <c r="AX9" s="2271"/>
      <c r="AY9" s="2271"/>
      <c r="AZ9" s="2271"/>
      <c r="BA9" s="2271"/>
      <c r="BB9" s="2271"/>
      <c r="BC9" s="2271"/>
      <c r="BD9" s="2271"/>
      <c r="BE9" s="2271"/>
      <c r="BF9" s="2271"/>
      <c r="BG9" s="2271"/>
      <c r="BH9" s="2271"/>
      <c r="BI9" s="2271"/>
      <c r="BJ9" s="2271"/>
      <c r="BK9" s="2272"/>
      <c r="BL9" s="1201"/>
      <c r="BM9" s="1202"/>
      <c r="BN9" s="1202"/>
      <c r="BO9" s="1202"/>
      <c r="BP9" s="1202"/>
      <c r="BQ9" s="1202"/>
      <c r="BR9" s="1202"/>
      <c r="BS9" s="1202"/>
      <c r="BT9" s="1202"/>
      <c r="BU9" s="1202"/>
      <c r="BV9" s="1202"/>
      <c r="BW9" s="1202"/>
      <c r="BX9" s="1202"/>
      <c r="BY9" s="1202"/>
      <c r="BZ9" s="1202"/>
      <c r="CA9" s="1202"/>
      <c r="CB9" s="1202"/>
      <c r="CC9" s="1202"/>
      <c r="CD9" s="1202"/>
      <c r="CE9" s="1202"/>
      <c r="CF9" s="1202"/>
    </row>
    <row r="10" spans="2:84" ht="14.25" customHeight="1" thickBot="1">
      <c r="B10" s="1027"/>
      <c r="C10" s="1027"/>
      <c r="D10" s="1027"/>
      <c r="E10" s="1027"/>
      <c r="F10" s="1027"/>
      <c r="G10" s="1027"/>
      <c r="H10" s="1027"/>
      <c r="I10" s="1027"/>
      <c r="J10" s="1027"/>
      <c r="K10" s="1027"/>
      <c r="L10" s="1027"/>
      <c r="M10" s="1027"/>
      <c r="N10" s="1027"/>
      <c r="O10" s="1027"/>
      <c r="P10" s="1027"/>
      <c r="Q10" s="1027"/>
      <c r="R10" s="1027"/>
      <c r="S10" s="1027"/>
      <c r="T10" s="1027"/>
      <c r="U10" s="1027"/>
      <c r="V10" s="1027"/>
      <c r="W10" s="1027"/>
      <c r="X10" s="1027"/>
      <c r="Y10" s="1027"/>
      <c r="Z10" s="2273"/>
      <c r="AA10" s="2274"/>
      <c r="AB10" s="2274"/>
      <c r="AC10" s="2274"/>
      <c r="AD10" s="2274"/>
      <c r="AE10" s="2274"/>
      <c r="AF10" s="2274"/>
      <c r="AG10" s="2274"/>
      <c r="AH10" s="2274"/>
      <c r="AI10" s="2274"/>
      <c r="AJ10" s="2274"/>
      <c r="AK10" s="2274"/>
      <c r="AL10" s="2274"/>
      <c r="AM10" s="2274"/>
      <c r="AN10" s="2274"/>
      <c r="AO10" s="2274"/>
      <c r="AP10" s="2274"/>
      <c r="AQ10" s="2274"/>
      <c r="AR10" s="2274"/>
      <c r="AS10" s="2274"/>
      <c r="AT10" s="2274"/>
      <c r="AU10" s="2274"/>
      <c r="AV10" s="2274"/>
      <c r="AW10" s="2274"/>
      <c r="AX10" s="2274"/>
      <c r="AY10" s="2274"/>
      <c r="AZ10" s="2274"/>
      <c r="BA10" s="2274"/>
      <c r="BB10" s="2274"/>
      <c r="BC10" s="2274"/>
      <c r="BD10" s="2274"/>
      <c r="BE10" s="2274"/>
      <c r="BF10" s="2274"/>
      <c r="BG10" s="2274"/>
      <c r="BH10" s="2274"/>
      <c r="BI10" s="2274"/>
      <c r="BJ10" s="2274"/>
      <c r="BK10" s="2275"/>
      <c r="BL10" s="1203"/>
      <c r="BM10" s="1204"/>
      <c r="BN10" s="1205"/>
      <c r="BO10" s="1205"/>
      <c r="BP10" s="1205"/>
      <c r="BQ10" s="1205"/>
      <c r="BR10" s="2279" t="s">
        <v>1324</v>
      </c>
      <c r="BS10" s="2279"/>
      <c r="BT10" s="2279"/>
      <c r="BU10" s="2279"/>
      <c r="BV10" s="2279"/>
      <c r="BW10" s="2279"/>
      <c r="BX10" s="2279"/>
      <c r="BY10" s="2279"/>
      <c r="BZ10" s="2279"/>
      <c r="CA10" s="2279"/>
      <c r="CB10" s="2279"/>
      <c r="CC10" s="2279"/>
      <c r="CD10" s="2279"/>
      <c r="CE10" s="1206"/>
      <c r="CF10" s="1206"/>
    </row>
    <row r="11" spans="2:84" ht="15" customHeight="1">
      <c r="B11" s="2280" t="s">
        <v>1219</v>
      </c>
      <c r="C11" s="2280"/>
      <c r="D11" s="2280"/>
      <c r="E11" s="2280"/>
      <c r="F11" s="2280"/>
      <c r="G11" s="2280"/>
      <c r="H11" s="2280"/>
      <c r="I11" s="2280"/>
      <c r="J11" s="2280"/>
      <c r="K11" s="2280"/>
      <c r="L11" s="2280"/>
      <c r="M11" s="2280"/>
      <c r="N11" s="2280"/>
      <c r="O11" s="2280"/>
      <c r="P11" s="2280"/>
      <c r="Q11" s="2280"/>
      <c r="R11" s="2280"/>
      <c r="S11" s="2280"/>
      <c r="T11" s="2280"/>
      <c r="U11" s="2280"/>
      <c r="V11" s="2280"/>
      <c r="W11" s="2280"/>
      <c r="X11" s="2280"/>
      <c r="Y11" s="2281"/>
      <c r="Z11" s="1213"/>
      <c r="AA11" s="1214"/>
      <c r="AB11" s="1214"/>
      <c r="AC11" s="1214"/>
      <c r="AD11" s="1214"/>
      <c r="AE11" s="1214"/>
      <c r="AF11" s="1214"/>
      <c r="AG11" s="1214"/>
      <c r="AH11" s="1214"/>
      <c r="AI11" s="1214"/>
      <c r="AJ11" s="1215"/>
      <c r="AK11" s="1215"/>
      <c r="AL11" s="1215"/>
      <c r="AM11" s="2282" t="str">
        <f>'1770 S-1 JP'!T80</f>
        <v>.---</v>
      </c>
      <c r="AN11" s="2282"/>
      <c r="AO11" s="2282"/>
      <c r="AP11" s="2282"/>
      <c r="AQ11" s="2282"/>
      <c r="AR11" s="2282"/>
      <c r="AS11" s="2282"/>
      <c r="AT11" s="2282"/>
      <c r="AU11" s="2282"/>
      <c r="AV11" s="2282"/>
      <c r="AW11" s="2282"/>
      <c r="AX11" s="2282"/>
      <c r="AY11" s="2282"/>
      <c r="AZ11" s="2282"/>
      <c r="BA11" s="2282"/>
      <c r="BB11" s="2282"/>
      <c r="BC11" s="2282"/>
      <c r="BD11" s="2282"/>
      <c r="BE11" s="2282"/>
      <c r="BF11" s="2282"/>
      <c r="BG11" s="2282"/>
      <c r="BH11" s="2282"/>
      <c r="BI11" s="2282"/>
      <c r="BJ11" s="2282"/>
      <c r="BK11" s="2282"/>
      <c r="BL11" s="2282"/>
      <c r="BM11" s="2282"/>
      <c r="BN11" s="2282"/>
      <c r="BO11" s="2282"/>
      <c r="BP11" s="2282"/>
      <c r="BQ11" s="1216"/>
      <c r="BR11" s="2284" t="s">
        <v>1220</v>
      </c>
      <c r="BS11" s="2285"/>
      <c r="BT11" s="2285"/>
      <c r="BU11" s="2285"/>
      <c r="BV11" s="2285"/>
      <c r="BW11" s="2285"/>
      <c r="BX11" s="2285"/>
      <c r="BY11" s="2285"/>
      <c r="BZ11" s="2285"/>
      <c r="CA11" s="2285"/>
      <c r="CB11" s="2285"/>
      <c r="CC11" s="2285"/>
      <c r="CD11" s="2285"/>
      <c r="CE11" s="2285"/>
      <c r="CF11" s="1206"/>
    </row>
    <row r="12" spans="2:84" ht="11.25" customHeight="1">
      <c r="B12" s="2286" t="s">
        <v>1221</v>
      </c>
      <c r="C12" s="2286"/>
      <c r="D12" s="2286"/>
      <c r="E12" s="2286"/>
      <c r="F12" s="2286"/>
      <c r="G12" s="2286"/>
      <c r="H12" s="2286"/>
      <c r="I12" s="2286"/>
      <c r="J12" s="2286"/>
      <c r="K12" s="2286"/>
      <c r="L12" s="2286"/>
      <c r="M12" s="2286"/>
      <c r="N12" s="2286"/>
      <c r="O12" s="2286"/>
      <c r="P12" s="2286"/>
      <c r="Q12" s="2286"/>
      <c r="R12" s="2286"/>
      <c r="S12" s="2286"/>
      <c r="T12" s="2286"/>
      <c r="U12" s="2286"/>
      <c r="V12" s="2286"/>
      <c r="W12" s="2286"/>
      <c r="X12" s="2286"/>
      <c r="Y12" s="2287"/>
      <c r="Z12" s="2290" t="s">
        <v>728</v>
      </c>
      <c r="AA12" s="1168"/>
      <c r="AB12" s="1168"/>
      <c r="AC12" s="1168"/>
      <c r="AD12" s="1168"/>
      <c r="AE12" s="1168"/>
      <c r="AF12" s="1168"/>
      <c r="AG12" s="1168"/>
      <c r="AH12" s="2291" t="s">
        <v>1222</v>
      </c>
      <c r="AI12" s="2291"/>
      <c r="AJ12" s="2291"/>
      <c r="AK12" s="2291"/>
      <c r="AL12" s="1217"/>
      <c r="AM12" s="2283"/>
      <c r="AN12" s="2283"/>
      <c r="AO12" s="2283"/>
      <c r="AP12" s="2283"/>
      <c r="AQ12" s="2283"/>
      <c r="AR12" s="2283"/>
      <c r="AS12" s="2283"/>
      <c r="AT12" s="2283"/>
      <c r="AU12" s="2283"/>
      <c r="AV12" s="2283"/>
      <c r="AW12" s="2283"/>
      <c r="AX12" s="2283"/>
      <c r="AY12" s="2283"/>
      <c r="AZ12" s="2283"/>
      <c r="BA12" s="2283"/>
      <c r="BB12" s="2283"/>
      <c r="BC12" s="2283"/>
      <c r="BD12" s="2283"/>
      <c r="BE12" s="2283"/>
      <c r="BF12" s="2283"/>
      <c r="BG12" s="2283"/>
      <c r="BH12" s="2283"/>
      <c r="BI12" s="2283"/>
      <c r="BJ12" s="2283"/>
      <c r="BK12" s="2283"/>
      <c r="BL12" s="2283"/>
      <c r="BM12" s="2283"/>
      <c r="BN12" s="2283"/>
      <c r="BO12" s="2283"/>
      <c r="BP12" s="2283"/>
      <c r="BQ12" s="1218"/>
      <c r="BR12" s="2292" t="s">
        <v>1223</v>
      </c>
      <c r="BS12" s="2292"/>
      <c r="BT12" s="1219"/>
      <c r="BU12" s="2293">
        <f>'GENERAL INFO'!G108</f>
        <v>0</v>
      </c>
      <c r="BV12" s="2293"/>
      <c r="BW12" s="2293"/>
      <c r="BX12" s="1220" t="s">
        <v>30</v>
      </c>
      <c r="BY12" s="2293">
        <f>'GENERAL INFO'!J108</f>
        <v>0</v>
      </c>
      <c r="BZ12" s="2293"/>
      <c r="CA12" s="2293"/>
      <c r="CB12" s="2293"/>
      <c r="CC12" s="1221"/>
      <c r="CD12" s="1221"/>
      <c r="CE12" s="1221"/>
      <c r="CF12" s="1221"/>
    </row>
    <row r="13" spans="2:84" ht="3" customHeight="1">
      <c r="B13" s="2286"/>
      <c r="C13" s="2286"/>
      <c r="D13" s="2286"/>
      <c r="E13" s="2286"/>
      <c r="F13" s="2286"/>
      <c r="G13" s="2286"/>
      <c r="H13" s="2286"/>
      <c r="I13" s="2286"/>
      <c r="J13" s="2286"/>
      <c r="K13" s="2286"/>
      <c r="L13" s="2286"/>
      <c r="M13" s="2286"/>
      <c r="N13" s="2286"/>
      <c r="O13" s="2286"/>
      <c r="P13" s="2286"/>
      <c r="Q13" s="2286"/>
      <c r="R13" s="2286"/>
      <c r="S13" s="2286"/>
      <c r="T13" s="2286"/>
      <c r="U13" s="2286"/>
      <c r="V13" s="2286"/>
      <c r="W13" s="2286"/>
      <c r="X13" s="2286"/>
      <c r="Y13" s="2287"/>
      <c r="Z13" s="1039"/>
      <c r="AA13" s="1040"/>
      <c r="AB13" s="1040"/>
      <c r="AC13" s="1040"/>
      <c r="AD13" s="1040"/>
      <c r="AE13" s="1040"/>
      <c r="AF13" s="1040"/>
      <c r="AG13" s="1040"/>
      <c r="AH13" s="1041"/>
      <c r="AI13" s="1041"/>
      <c r="AJ13" s="1041"/>
      <c r="AK13" s="1041"/>
      <c r="AL13" s="1041"/>
      <c r="AM13" s="1042"/>
      <c r="AN13" s="1043"/>
      <c r="AO13" s="1043"/>
      <c r="AP13" s="1043"/>
      <c r="AQ13" s="1044"/>
      <c r="AR13" s="1044"/>
      <c r="AS13" s="1045"/>
      <c r="AT13" s="1046"/>
      <c r="AU13" s="1046"/>
      <c r="AV13" s="1047"/>
      <c r="AW13" s="1047"/>
      <c r="AX13" s="1047"/>
      <c r="AY13" s="1047"/>
      <c r="AZ13" s="1047"/>
      <c r="BA13" s="1047"/>
      <c r="BB13" s="1048"/>
      <c r="BC13" s="1049"/>
      <c r="BD13" s="1050"/>
      <c r="BE13" s="1050"/>
      <c r="BF13" s="1047"/>
      <c r="BG13" s="1047"/>
      <c r="BH13" s="1047"/>
      <c r="BI13" s="1051"/>
      <c r="BJ13" s="1047"/>
      <c r="BK13" s="1047"/>
      <c r="BL13" s="1047"/>
      <c r="BM13" s="1047"/>
      <c r="BN13" s="1052"/>
      <c r="BO13" s="1052"/>
      <c r="BP13" s="1052"/>
      <c r="BQ13" s="1035"/>
      <c r="BR13" s="1053"/>
      <c r="BS13" s="2294"/>
      <c r="BT13" s="2294"/>
      <c r="BU13" s="2294"/>
      <c r="BV13" s="1038"/>
      <c r="BW13" s="1038"/>
      <c r="BX13" s="1038"/>
      <c r="BY13" s="1038"/>
      <c r="BZ13" s="1038"/>
      <c r="CA13" s="1038"/>
      <c r="CB13" s="1038"/>
      <c r="CC13" s="1038"/>
      <c r="CD13" s="1038"/>
      <c r="CE13" s="1038"/>
      <c r="CF13" s="1038"/>
    </row>
    <row r="14" spans="2:84" ht="16.5" customHeight="1" thickBot="1">
      <c r="B14" s="2288"/>
      <c r="C14" s="2288"/>
      <c r="D14" s="2288"/>
      <c r="E14" s="2288"/>
      <c r="F14" s="2288"/>
      <c r="G14" s="2288"/>
      <c r="H14" s="2288"/>
      <c r="I14" s="2288"/>
      <c r="J14" s="2288"/>
      <c r="K14" s="2288"/>
      <c r="L14" s="2288"/>
      <c r="M14" s="2288"/>
      <c r="N14" s="2288"/>
      <c r="O14" s="2288"/>
      <c r="P14" s="2288"/>
      <c r="Q14" s="2288"/>
      <c r="R14" s="2288"/>
      <c r="S14" s="2288"/>
      <c r="T14" s="2288"/>
      <c r="U14" s="2288"/>
      <c r="V14" s="2288"/>
      <c r="W14" s="2288"/>
      <c r="X14" s="2288"/>
      <c r="Y14" s="2289"/>
      <c r="Z14" s="1054"/>
      <c r="AA14" s="1055"/>
      <c r="AB14" s="1055"/>
      <c r="AC14" s="1055"/>
      <c r="AD14" s="1055"/>
      <c r="AE14" s="1055"/>
      <c r="AF14" s="1055"/>
      <c r="AG14" s="1055"/>
      <c r="AH14" s="1055"/>
      <c r="AI14" s="1056"/>
      <c r="AJ14" s="1056"/>
      <c r="AK14" s="1056"/>
      <c r="AL14" s="1056"/>
      <c r="AM14" s="1056"/>
      <c r="AN14" s="1055"/>
      <c r="AO14" s="1055"/>
      <c r="AP14" s="1055"/>
      <c r="AQ14" s="1055"/>
      <c r="AR14" s="1055"/>
      <c r="AS14" s="1057"/>
      <c r="AT14" s="1055"/>
      <c r="AU14" s="1055"/>
      <c r="AV14" s="1057"/>
      <c r="AW14" s="1057"/>
      <c r="AX14" s="1057"/>
      <c r="AY14" s="1057"/>
      <c r="AZ14" s="1057"/>
      <c r="BA14" s="1057"/>
      <c r="BB14" s="1057"/>
      <c r="BC14" s="1057"/>
      <c r="BD14" s="1057"/>
      <c r="BE14" s="1057"/>
      <c r="BF14" s="1057"/>
      <c r="BG14" s="1057"/>
      <c r="BH14" s="1057"/>
      <c r="BI14" s="1057"/>
      <c r="BJ14" s="1057"/>
      <c r="BK14" s="1057"/>
      <c r="BL14" s="1057"/>
      <c r="BM14" s="1057"/>
      <c r="BN14" s="1058"/>
      <c r="BO14" s="1058"/>
      <c r="BP14" s="1058"/>
      <c r="BQ14" s="1059"/>
      <c r="BR14" s="1060"/>
      <c r="BS14" s="1060"/>
      <c r="BT14" s="1060"/>
      <c r="BU14" s="1061"/>
      <c r="BV14" s="1061"/>
      <c r="BW14" s="1061"/>
      <c r="BX14" s="1061"/>
      <c r="BY14" s="1061"/>
      <c r="BZ14" s="1061"/>
      <c r="CA14" s="1061"/>
      <c r="CB14" s="1061"/>
      <c r="CC14" s="1061"/>
      <c r="CD14" s="1061"/>
      <c r="CE14" s="1038"/>
      <c r="CF14" s="1038"/>
    </row>
    <row r="15" spans="2:82" s="1018" customFormat="1" ht="5.25" customHeight="1">
      <c r="B15" s="1062"/>
      <c r="C15" s="1063"/>
      <c r="D15" s="1063"/>
      <c r="E15" s="1063"/>
      <c r="F15" s="1063"/>
      <c r="G15" s="1063"/>
      <c r="H15" s="1063"/>
      <c r="I15" s="1063"/>
      <c r="J15" s="1063"/>
      <c r="K15" s="1063"/>
      <c r="L15" s="1063"/>
      <c r="M15" s="1063"/>
      <c r="N15" s="1063"/>
      <c r="O15" s="1064"/>
      <c r="P15" s="1064"/>
      <c r="Q15" s="1064"/>
      <c r="R15" s="1064"/>
      <c r="S15" s="1064"/>
      <c r="T15" s="1064"/>
      <c r="U15" s="1064"/>
      <c r="V15" s="1064"/>
      <c r="W15" s="1064"/>
      <c r="X15" s="1064"/>
      <c r="Y15" s="1064"/>
      <c r="Z15" s="1064"/>
      <c r="AA15" s="1064"/>
      <c r="AB15" s="1064"/>
      <c r="AC15" s="1064"/>
      <c r="AD15" s="1064"/>
      <c r="AE15" s="1064"/>
      <c r="AF15" s="1064"/>
      <c r="AG15" s="1064"/>
      <c r="AH15" s="1064"/>
      <c r="AI15" s="1064"/>
      <c r="AJ15" s="1064"/>
      <c r="AK15" s="1064"/>
      <c r="AL15" s="1064"/>
      <c r="AM15" s="1064"/>
      <c r="AN15" s="1064"/>
      <c r="AO15" s="1064"/>
      <c r="AP15" s="1065"/>
      <c r="AQ15" s="1065"/>
      <c r="AR15" s="1065"/>
      <c r="AS15" s="1065"/>
      <c r="AT15" s="1065"/>
      <c r="AU15" s="1065"/>
      <c r="AV15" s="1065"/>
      <c r="AW15" s="1065"/>
      <c r="AX15" s="1065"/>
      <c r="AY15" s="1065"/>
      <c r="AZ15" s="1065"/>
      <c r="BA15" s="1065"/>
      <c r="BB15" s="1065"/>
      <c r="BC15" s="1065"/>
      <c r="BD15" s="1065"/>
      <c r="BE15" s="1065"/>
      <c r="BF15" s="1065"/>
      <c r="BG15" s="1065"/>
      <c r="BH15" s="1065"/>
      <c r="BI15" s="1065"/>
      <c r="BJ15" s="1065"/>
      <c r="BK15" s="1065"/>
      <c r="BL15" s="1065"/>
      <c r="BM15" s="1065"/>
      <c r="BN15" s="1065"/>
      <c r="BO15" s="1065"/>
      <c r="BP15" s="1065"/>
      <c r="BQ15" s="1065"/>
      <c r="BR15" s="1065"/>
      <c r="BS15" s="1065"/>
      <c r="BT15" s="1065"/>
      <c r="BU15" s="1065"/>
      <c r="BV15" s="1065"/>
      <c r="BW15" s="1065"/>
      <c r="BX15" s="1065"/>
      <c r="BY15" s="1065"/>
      <c r="BZ15" s="1065"/>
      <c r="CA15" s="1065"/>
      <c r="CB15" s="1065"/>
      <c r="CC15" s="1065"/>
      <c r="CD15" s="1066"/>
    </row>
    <row r="16" spans="2:82" s="1018" customFormat="1" ht="23.15" customHeight="1">
      <c r="B16" s="1067"/>
      <c r="C16" s="1116" t="s">
        <v>768</v>
      </c>
      <c r="D16" s="1116"/>
      <c r="E16" s="1116"/>
      <c r="F16" s="1116"/>
      <c r="G16" s="1116"/>
      <c r="H16" s="1116"/>
      <c r="I16" s="1116"/>
      <c r="J16" s="1116"/>
      <c r="K16" s="1068" t="s">
        <v>26</v>
      </c>
      <c r="L16" s="2264" t="s">
        <v>1224</v>
      </c>
      <c r="M16" s="2264"/>
      <c r="N16" s="2264"/>
      <c r="O16" s="2264"/>
      <c r="P16" s="2265" t="str">
        <f>'1770 S-1 JP'!L80</f>
        <v>-</v>
      </c>
      <c r="Q16" s="2265"/>
      <c r="R16" s="2265"/>
      <c r="S16" s="2265"/>
      <c r="T16" s="2265"/>
      <c r="U16" s="2265"/>
      <c r="V16" s="2265"/>
      <c r="W16" s="2265"/>
      <c r="X16" s="2265"/>
      <c r="Y16" s="2265"/>
      <c r="Z16" s="2265"/>
      <c r="AA16" s="2265"/>
      <c r="AB16" s="2265"/>
      <c r="AC16" s="2265"/>
      <c r="AD16" s="2265"/>
      <c r="AE16" s="2265"/>
      <c r="AF16" s="2265"/>
      <c r="AG16" s="2265"/>
      <c r="AH16" s="2265"/>
      <c r="AI16" s="2265"/>
      <c r="AJ16" s="2265"/>
      <c r="AK16" s="2265"/>
      <c r="AL16" s="2265"/>
      <c r="AM16" s="2265"/>
      <c r="AN16" s="2265"/>
      <c r="AO16" s="2265"/>
      <c r="AP16" s="2265"/>
      <c r="AQ16" s="2265"/>
      <c r="AR16" s="2265"/>
      <c r="AS16" s="2265"/>
      <c r="AT16" s="2265"/>
      <c r="AU16" s="2265"/>
      <c r="AV16" s="2265"/>
      <c r="AW16" s="2265"/>
      <c r="AX16" s="2265"/>
      <c r="AY16" s="2265"/>
      <c r="AZ16" s="2265"/>
      <c r="BA16" s="2265"/>
      <c r="BB16" s="2265"/>
      <c r="BC16" s="2265"/>
      <c r="BD16" s="1069"/>
      <c r="BE16" s="1069"/>
      <c r="BF16" s="1069"/>
      <c r="BG16" s="1069"/>
      <c r="BH16" s="1069"/>
      <c r="BI16" s="1069"/>
      <c r="BJ16" s="1069"/>
      <c r="BK16" s="1069"/>
      <c r="BL16" s="1069"/>
      <c r="BM16" s="1069"/>
      <c r="BN16" s="1069"/>
      <c r="BO16" s="2266"/>
      <c r="BP16" s="2266"/>
      <c r="BQ16" s="2266"/>
      <c r="BR16" s="1070"/>
      <c r="BS16" s="1070"/>
      <c r="BT16" s="1071"/>
      <c r="BU16" s="1071"/>
      <c r="BV16" s="1071"/>
      <c r="BW16" s="1071"/>
      <c r="BX16" s="1071"/>
      <c r="BY16" s="1070"/>
      <c r="BZ16" s="1070"/>
      <c r="CA16" s="1070"/>
      <c r="CB16" s="1070"/>
      <c r="CC16" s="1070"/>
      <c r="CD16" s="1072"/>
    </row>
    <row r="17" spans="2:82" s="1018" customFormat="1" ht="6" customHeight="1">
      <c r="B17" s="1073"/>
      <c r="C17" s="1074"/>
      <c r="D17" s="1074"/>
      <c r="E17" s="1074"/>
      <c r="F17" s="1074"/>
      <c r="G17" s="1074"/>
      <c r="H17" s="1074"/>
      <c r="I17" s="1074"/>
      <c r="J17" s="1075"/>
      <c r="K17" s="1075"/>
      <c r="L17" s="1075"/>
      <c r="M17" s="1074"/>
      <c r="N17" s="1074"/>
      <c r="O17" s="1076"/>
      <c r="P17" s="1076"/>
      <c r="Q17" s="1076"/>
      <c r="R17" s="1077"/>
      <c r="S17" s="1077"/>
      <c r="T17" s="1077"/>
      <c r="U17" s="1077"/>
      <c r="V17" s="1077"/>
      <c r="W17" s="1077"/>
      <c r="X17" s="1077"/>
      <c r="Y17" s="1077"/>
      <c r="Z17" s="1077"/>
      <c r="AA17" s="1077"/>
      <c r="AB17" s="1077"/>
      <c r="AC17" s="1077"/>
      <c r="AD17" s="1077"/>
      <c r="AE17" s="1077"/>
      <c r="AF17" s="1077"/>
      <c r="AG17" s="1077"/>
      <c r="AH17" s="1077"/>
      <c r="AI17" s="1077"/>
      <c r="AJ17" s="1077"/>
      <c r="AK17" s="1077"/>
      <c r="AL17" s="1077"/>
      <c r="AM17" s="1077"/>
      <c r="AN17" s="1077"/>
      <c r="AO17" s="1077"/>
      <c r="AP17" s="1070"/>
      <c r="AQ17" s="1070"/>
      <c r="AR17" s="1070"/>
      <c r="AS17" s="1070"/>
      <c r="AT17" s="1070"/>
      <c r="AU17" s="1070"/>
      <c r="AV17" s="1070"/>
      <c r="AW17" s="1070"/>
      <c r="AX17" s="1070"/>
      <c r="AY17" s="1070"/>
      <c r="AZ17" s="1070"/>
      <c r="BA17" s="1070"/>
      <c r="BB17" s="1070"/>
      <c r="BC17" s="1070"/>
      <c r="BD17" s="1070"/>
      <c r="BE17" s="1070"/>
      <c r="BF17" s="1070"/>
      <c r="BG17" s="1070"/>
      <c r="BH17" s="1070"/>
      <c r="BI17" s="1070"/>
      <c r="BJ17" s="1070"/>
      <c r="BK17" s="1070"/>
      <c r="BL17" s="1070"/>
      <c r="BM17" s="1070"/>
      <c r="BN17" s="1070"/>
      <c r="BO17" s="1070"/>
      <c r="BP17" s="1070"/>
      <c r="BQ17" s="1070"/>
      <c r="BR17" s="1070"/>
      <c r="BS17" s="1070"/>
      <c r="BT17" s="1070"/>
      <c r="BU17" s="1070"/>
      <c r="BV17" s="1070"/>
      <c r="BW17" s="1070"/>
      <c r="BX17" s="1070"/>
      <c r="BY17" s="1070"/>
      <c r="BZ17" s="1070"/>
      <c r="CA17" s="1070"/>
      <c r="CB17" s="1070"/>
      <c r="CC17" s="1070"/>
      <c r="CD17" s="1072"/>
    </row>
    <row r="18" spans="2:84" s="1018" customFormat="1" ht="23.15" customHeight="1">
      <c r="B18" s="1067"/>
      <c r="C18" s="1113" t="s">
        <v>769</v>
      </c>
      <c r="D18" s="2267"/>
      <c r="E18" s="2267"/>
      <c r="F18" s="2267"/>
      <c r="G18" s="2267"/>
      <c r="H18" s="2267"/>
      <c r="I18" s="2267"/>
      <c r="J18" s="2267"/>
      <c r="K18" s="1078" t="s">
        <v>26</v>
      </c>
      <c r="L18" s="2268" t="s">
        <v>1225</v>
      </c>
      <c r="M18" s="2268"/>
      <c r="N18" s="2268"/>
      <c r="O18" s="2268"/>
      <c r="P18" s="2257">
        <f>'1770 S-1 JP'!C80</f>
        <v>0</v>
      </c>
      <c r="Q18" s="2257"/>
      <c r="R18" s="2257"/>
      <c r="S18" s="2257"/>
      <c r="T18" s="2257"/>
      <c r="U18" s="2257"/>
      <c r="V18" s="2257"/>
      <c r="W18" s="2257"/>
      <c r="X18" s="2257"/>
      <c r="Y18" s="2257"/>
      <c r="Z18" s="2257"/>
      <c r="AA18" s="2257"/>
      <c r="AB18" s="2257"/>
      <c r="AC18" s="2257"/>
      <c r="AD18" s="2257"/>
      <c r="AE18" s="2257"/>
      <c r="AF18" s="2257"/>
      <c r="AG18" s="2257"/>
      <c r="AH18" s="2257"/>
      <c r="AI18" s="2257"/>
      <c r="AJ18" s="2257"/>
      <c r="AK18" s="2257"/>
      <c r="AL18" s="2257"/>
      <c r="AM18" s="2257"/>
      <c r="AN18" s="2257"/>
      <c r="AO18" s="2257"/>
      <c r="AP18" s="2257"/>
      <c r="AQ18" s="2257"/>
      <c r="AR18" s="2257"/>
      <c r="AS18" s="2257"/>
      <c r="AT18" s="2257"/>
      <c r="AU18" s="2257"/>
      <c r="AV18" s="2257"/>
      <c r="AW18" s="2257"/>
      <c r="AX18" s="2257"/>
      <c r="AY18" s="2257"/>
      <c r="AZ18" s="2257"/>
      <c r="BA18" s="2257"/>
      <c r="BB18" s="2257"/>
      <c r="BC18" s="2257"/>
      <c r="BD18" s="2257"/>
      <c r="BE18" s="2257"/>
      <c r="BF18" s="2257"/>
      <c r="BG18" s="2257"/>
      <c r="BH18" s="2257"/>
      <c r="BI18" s="2257"/>
      <c r="BJ18" s="2257"/>
      <c r="BK18" s="2257"/>
      <c r="BL18" s="2257"/>
      <c r="BM18" s="2257"/>
      <c r="BN18" s="2257"/>
      <c r="BO18" s="2257"/>
      <c r="BP18" s="2257"/>
      <c r="BQ18" s="2257"/>
      <c r="BR18" s="2257"/>
      <c r="BS18" s="2257"/>
      <c r="BT18" s="2257"/>
      <c r="BU18" s="2257"/>
      <c r="BV18" s="2257"/>
      <c r="BW18" s="2257"/>
      <c r="BX18" s="2257"/>
      <c r="BY18" s="2257"/>
      <c r="BZ18" s="2257"/>
      <c r="CA18" s="2257"/>
      <c r="CB18" s="2257"/>
      <c r="CC18" s="2257"/>
      <c r="CD18" s="1079"/>
      <c r="CE18" s="1080"/>
      <c r="CF18" s="1080"/>
    </row>
    <row r="19" spans="2:84" s="1018" customFormat="1" ht="9" customHeight="1" thickBot="1">
      <c r="B19" s="1081"/>
      <c r="C19" s="1082"/>
      <c r="D19" s="1083"/>
      <c r="E19" s="1083"/>
      <c r="F19" s="1083"/>
      <c r="G19" s="1083"/>
      <c r="H19" s="1083"/>
      <c r="I19" s="1083"/>
      <c r="J19" s="1084"/>
      <c r="K19" s="1084"/>
      <c r="L19" s="1084"/>
      <c r="M19" s="1083"/>
      <c r="N19" s="1085"/>
      <c r="O19" s="1085"/>
      <c r="P19" s="1085"/>
      <c r="Q19" s="1085"/>
      <c r="R19" s="1086"/>
      <c r="S19" s="1086"/>
      <c r="T19" s="1086"/>
      <c r="U19" s="1086"/>
      <c r="V19" s="1086"/>
      <c r="W19" s="1086"/>
      <c r="X19" s="1086"/>
      <c r="Y19" s="1086"/>
      <c r="Z19" s="1086"/>
      <c r="AA19" s="1086"/>
      <c r="AB19" s="1086"/>
      <c r="AC19" s="1086"/>
      <c r="AD19" s="1086"/>
      <c r="AE19" s="1086"/>
      <c r="AF19" s="1086"/>
      <c r="AG19" s="1086"/>
      <c r="AH19" s="1086"/>
      <c r="AI19" s="1086"/>
      <c r="AJ19" s="1086"/>
      <c r="AK19" s="1086"/>
      <c r="AL19" s="1086"/>
      <c r="AM19" s="1086"/>
      <c r="AN19" s="1086"/>
      <c r="AO19" s="1086"/>
      <c r="AP19" s="1086"/>
      <c r="AQ19" s="1086"/>
      <c r="AR19" s="1086"/>
      <c r="AS19" s="1086"/>
      <c r="AT19" s="1086"/>
      <c r="AU19" s="1086"/>
      <c r="AV19" s="1086"/>
      <c r="AW19" s="1086"/>
      <c r="AX19" s="1086"/>
      <c r="AY19" s="1086"/>
      <c r="AZ19" s="1086"/>
      <c r="BA19" s="1086"/>
      <c r="BB19" s="1086"/>
      <c r="BC19" s="1086"/>
      <c r="BD19" s="1086"/>
      <c r="BE19" s="1086"/>
      <c r="BF19" s="1086"/>
      <c r="BG19" s="1086"/>
      <c r="BH19" s="1086"/>
      <c r="BI19" s="1086"/>
      <c r="BJ19" s="1086"/>
      <c r="BK19" s="1086"/>
      <c r="BL19" s="1086"/>
      <c r="BM19" s="1086"/>
      <c r="BN19" s="1086"/>
      <c r="BO19" s="1086"/>
      <c r="BP19" s="1086"/>
      <c r="BQ19" s="1086"/>
      <c r="BR19" s="1086"/>
      <c r="BS19" s="1086"/>
      <c r="BT19" s="1086"/>
      <c r="BU19" s="1086"/>
      <c r="BV19" s="1086"/>
      <c r="BW19" s="1086"/>
      <c r="BX19" s="1086"/>
      <c r="BY19" s="1086"/>
      <c r="BZ19" s="1086"/>
      <c r="CA19" s="1086"/>
      <c r="CB19" s="1086"/>
      <c r="CC19" s="1086"/>
      <c r="CD19" s="1087"/>
      <c r="CE19" s="1080"/>
      <c r="CF19" s="1080"/>
    </row>
    <row r="20" spans="2:84" s="1018" customFormat="1" ht="9" customHeight="1">
      <c r="B20" s="1088"/>
      <c r="C20" s="1088"/>
      <c r="D20" s="1089"/>
      <c r="E20" s="1089"/>
      <c r="F20" s="1089"/>
      <c r="G20" s="1089"/>
      <c r="H20" s="1089"/>
      <c r="I20" s="1088"/>
      <c r="J20" s="1090"/>
      <c r="K20" s="1090"/>
      <c r="L20" s="1091"/>
      <c r="M20" s="1092"/>
      <c r="N20" s="1093"/>
      <c r="O20" s="1093"/>
      <c r="P20" s="1093"/>
      <c r="Q20" s="1093"/>
      <c r="R20" s="1094"/>
      <c r="S20" s="1094"/>
      <c r="T20" s="1094"/>
      <c r="U20" s="1094"/>
      <c r="V20" s="1094"/>
      <c r="W20" s="1094"/>
      <c r="X20" s="1094"/>
      <c r="Y20" s="1094"/>
      <c r="Z20" s="1094"/>
      <c r="AA20" s="1094"/>
      <c r="AB20" s="1094"/>
      <c r="AC20" s="1094"/>
      <c r="AD20" s="1094"/>
      <c r="AE20" s="1094"/>
      <c r="AF20" s="1094"/>
      <c r="AG20" s="1094"/>
      <c r="AH20" s="1094"/>
      <c r="AI20" s="1094"/>
      <c r="AJ20" s="1094"/>
      <c r="AK20" s="1094"/>
      <c r="AL20" s="1094"/>
      <c r="AM20" s="1094"/>
      <c r="AN20" s="1094"/>
      <c r="AO20" s="1094"/>
      <c r="AP20" s="1094"/>
      <c r="AQ20" s="1094"/>
      <c r="AR20" s="1094"/>
      <c r="AS20" s="1094"/>
      <c r="AT20" s="1094"/>
      <c r="AU20" s="1094"/>
      <c r="AV20" s="1094"/>
      <c r="AW20" s="1094"/>
      <c r="AX20" s="1094"/>
      <c r="AY20" s="1094"/>
      <c r="AZ20" s="1094"/>
      <c r="BA20" s="1094"/>
      <c r="BB20" s="1094"/>
      <c r="BC20" s="1094"/>
      <c r="BD20" s="1094"/>
      <c r="BE20" s="1094"/>
      <c r="BF20" s="1094"/>
      <c r="BG20" s="1094"/>
      <c r="BH20" s="1094"/>
      <c r="BI20" s="1094"/>
      <c r="BJ20" s="1094"/>
      <c r="BK20" s="1094"/>
      <c r="BL20" s="1094"/>
      <c r="BM20" s="1094"/>
      <c r="BN20" s="1094"/>
      <c r="BO20" s="1094"/>
      <c r="BP20" s="1094"/>
      <c r="BQ20" s="1094"/>
      <c r="BR20" s="1094"/>
      <c r="BS20" s="1094"/>
      <c r="BT20" s="1094"/>
      <c r="BU20" s="1094"/>
      <c r="BV20" s="1094"/>
      <c r="BW20" s="1094"/>
      <c r="BX20" s="1094"/>
      <c r="BY20" s="1094"/>
      <c r="BZ20" s="1094"/>
      <c r="CA20" s="1094"/>
      <c r="CB20" s="1094"/>
      <c r="CC20" s="1094"/>
      <c r="CD20" s="1095"/>
      <c r="CE20" s="1080"/>
      <c r="CF20" s="1080"/>
    </row>
    <row r="21" spans="2:84">
      <c r="B21" s="2261" t="s">
        <v>1226</v>
      </c>
      <c r="C21" s="2261"/>
      <c r="D21" s="2261"/>
      <c r="E21" s="2261"/>
      <c r="F21" s="2261"/>
      <c r="G21" s="2261"/>
      <c r="H21" s="2261"/>
      <c r="I21" s="2261"/>
      <c r="J21" s="2261"/>
      <c r="K21" s="2261"/>
      <c r="L21" s="2261"/>
      <c r="M21" s="2261"/>
      <c r="N21" s="2261"/>
      <c r="O21" s="2261"/>
      <c r="P21" s="2261"/>
      <c r="Q21" s="2261"/>
      <c r="R21" s="2261"/>
      <c r="S21" s="2261"/>
      <c r="T21" s="2261"/>
      <c r="U21" s="2261"/>
      <c r="V21" s="2261"/>
      <c r="W21" s="2261"/>
      <c r="X21" s="2261"/>
      <c r="Y21" s="2261"/>
      <c r="Z21" s="2261"/>
      <c r="AA21" s="2261"/>
      <c r="AB21" s="2261"/>
      <c r="AC21" s="2261"/>
      <c r="AD21" s="2261"/>
      <c r="AE21" s="2261"/>
      <c r="AF21" s="2261"/>
      <c r="AG21" s="2261"/>
      <c r="AH21" s="2261"/>
      <c r="AI21" s="2261"/>
      <c r="AJ21" s="2261"/>
      <c r="AK21" s="2261"/>
      <c r="AL21" s="2261"/>
      <c r="AM21" s="2261"/>
      <c r="AN21" s="2261"/>
      <c r="AO21" s="2261"/>
      <c r="AP21" s="2261"/>
      <c r="AQ21" s="2261"/>
      <c r="AR21" s="2261"/>
      <c r="AS21" s="2261"/>
      <c r="AT21" s="2261"/>
      <c r="AU21" s="2261"/>
      <c r="AV21" s="2261"/>
      <c r="AW21" s="2261"/>
      <c r="AX21" s="2261"/>
      <c r="AY21" s="2261"/>
      <c r="AZ21" s="2261"/>
      <c r="BA21" s="2261"/>
      <c r="BB21" s="2261"/>
      <c r="BC21" s="2261"/>
      <c r="BD21" s="2261"/>
      <c r="BE21" s="2261"/>
      <c r="BF21" s="2261"/>
      <c r="BG21" s="2261"/>
      <c r="BH21" s="2261"/>
      <c r="BI21" s="2261"/>
      <c r="BJ21" s="2261"/>
      <c r="BK21" s="2261"/>
      <c r="BL21" s="2261"/>
      <c r="BM21" s="2261"/>
      <c r="BN21" s="2261"/>
      <c r="BO21" s="2261"/>
      <c r="BP21" s="2261"/>
      <c r="BQ21" s="2261"/>
      <c r="BR21" s="2261"/>
      <c r="BS21" s="2261"/>
      <c r="BT21" s="2261"/>
      <c r="BU21" s="2261"/>
      <c r="BV21" s="2261"/>
      <c r="BW21" s="2261"/>
      <c r="BX21" s="2261"/>
      <c r="BY21" s="2261"/>
      <c r="BZ21" s="2261"/>
      <c r="CA21" s="2261"/>
      <c r="CB21" s="2261"/>
      <c r="CC21" s="2261"/>
      <c r="CD21" s="2261"/>
      <c r="CE21" s="1028"/>
      <c r="CF21" s="1028"/>
    </row>
    <row r="22" spans="2:84" ht="3.75" customHeight="1" thickBot="1">
      <c r="B22" s="1096"/>
      <c r="C22" s="1096"/>
      <c r="D22" s="1096"/>
      <c r="E22" s="1096"/>
      <c r="F22" s="1096"/>
      <c r="G22" s="1096"/>
      <c r="H22" s="1096"/>
      <c r="I22" s="1096"/>
      <c r="J22" s="1096"/>
      <c r="K22" s="1096"/>
      <c r="L22" s="1096"/>
      <c r="M22" s="1096"/>
      <c r="N22" s="1096"/>
      <c r="O22" s="1096"/>
      <c r="P22" s="1096"/>
      <c r="Q22" s="1096"/>
      <c r="R22" s="1096"/>
      <c r="S22" s="1096"/>
      <c r="T22" s="1096"/>
      <c r="U22" s="1096"/>
      <c r="V22" s="1096"/>
      <c r="W22" s="1096"/>
      <c r="X22" s="1096"/>
      <c r="Y22" s="1096"/>
      <c r="Z22" s="1096"/>
      <c r="AA22" s="1096"/>
      <c r="AB22" s="1096"/>
      <c r="AC22" s="1096"/>
      <c r="AD22" s="1096"/>
      <c r="AE22" s="1096"/>
      <c r="AF22" s="1096"/>
      <c r="AG22" s="1096"/>
      <c r="AH22" s="1096"/>
      <c r="AI22" s="1096"/>
      <c r="AJ22" s="1096"/>
      <c r="AK22" s="1096"/>
      <c r="AL22" s="1096"/>
      <c r="AM22" s="1096"/>
      <c r="AN22" s="1096"/>
      <c r="AO22" s="1096"/>
      <c r="AP22" s="1096"/>
      <c r="AQ22" s="1096"/>
      <c r="AR22" s="1096"/>
      <c r="AS22" s="1096"/>
      <c r="AT22" s="1096"/>
      <c r="AU22" s="1096"/>
      <c r="AV22" s="1096"/>
      <c r="AW22" s="1096"/>
      <c r="AX22" s="1096"/>
      <c r="AY22" s="1096"/>
      <c r="AZ22" s="1096"/>
      <c r="BA22" s="1096"/>
      <c r="BB22" s="1096"/>
      <c r="BC22" s="1096"/>
      <c r="BD22" s="1096"/>
      <c r="BE22" s="1096"/>
      <c r="BF22" s="1096"/>
      <c r="BG22" s="1096"/>
      <c r="BH22" s="1096"/>
      <c r="BI22" s="1096"/>
      <c r="BJ22" s="1096"/>
      <c r="BK22" s="1096"/>
      <c r="BL22" s="1096"/>
      <c r="BM22" s="1096"/>
      <c r="BN22" s="1096"/>
      <c r="BO22" s="1096"/>
      <c r="BP22" s="1096"/>
      <c r="BQ22" s="1096"/>
      <c r="BR22" s="1096"/>
      <c r="BS22" s="1096"/>
      <c r="BT22" s="1096"/>
      <c r="BU22" s="1096"/>
      <c r="BV22" s="1096"/>
      <c r="BW22" s="1096"/>
      <c r="BX22" s="1096"/>
      <c r="BY22" s="1096"/>
      <c r="BZ22" s="1096"/>
      <c r="CA22" s="1096"/>
      <c r="CB22" s="1096"/>
      <c r="CC22" s="1096"/>
      <c r="CD22" s="1096"/>
      <c r="CE22" s="1028"/>
      <c r="CF22" s="1028"/>
    </row>
    <row r="23" spans="2:82" s="1018" customFormat="1" ht="9" customHeight="1">
      <c r="B23" s="1062"/>
      <c r="C23" s="1063"/>
      <c r="D23" s="1063"/>
      <c r="E23" s="1063"/>
      <c r="F23" s="1063"/>
      <c r="G23" s="1063"/>
      <c r="H23" s="1063"/>
      <c r="I23" s="1063"/>
      <c r="J23" s="1063"/>
      <c r="K23" s="1063"/>
      <c r="L23" s="1063"/>
      <c r="M23" s="1063"/>
      <c r="N23" s="1063"/>
      <c r="O23" s="1064"/>
      <c r="P23" s="1064"/>
      <c r="Q23" s="1064"/>
      <c r="R23" s="1064"/>
      <c r="S23" s="1064"/>
      <c r="T23" s="1064"/>
      <c r="U23" s="1064"/>
      <c r="V23" s="1064"/>
      <c r="W23" s="1064"/>
      <c r="X23" s="1064"/>
      <c r="Y23" s="1064"/>
      <c r="Z23" s="1064"/>
      <c r="AA23" s="1064"/>
      <c r="AB23" s="1064"/>
      <c r="AC23" s="1064"/>
      <c r="AD23" s="1064"/>
      <c r="AE23" s="1064"/>
      <c r="AF23" s="1064"/>
      <c r="AG23" s="1064"/>
      <c r="AH23" s="1064"/>
      <c r="AI23" s="1064"/>
      <c r="AJ23" s="1064"/>
      <c r="AK23" s="1064"/>
      <c r="AL23" s="1064"/>
      <c r="AM23" s="1064"/>
      <c r="AN23" s="1064"/>
      <c r="AO23" s="1064"/>
      <c r="AP23" s="1065"/>
      <c r="AQ23" s="1065"/>
      <c r="AR23" s="1065"/>
      <c r="AS23" s="1065"/>
      <c r="AT23" s="1065"/>
      <c r="AU23" s="1065"/>
      <c r="AV23" s="1065"/>
      <c r="AW23" s="1065"/>
      <c r="AX23" s="1065"/>
      <c r="AY23" s="1065"/>
      <c r="AZ23" s="1065"/>
      <c r="BA23" s="1065"/>
      <c r="BB23" s="1065"/>
      <c r="BC23" s="1065"/>
      <c r="BD23" s="1065"/>
      <c r="BE23" s="1065"/>
      <c r="BF23" s="1065"/>
      <c r="BG23" s="1065"/>
      <c r="BH23" s="1065"/>
      <c r="BI23" s="1065"/>
      <c r="BJ23" s="1065"/>
      <c r="BK23" s="1065"/>
      <c r="BL23" s="1065"/>
      <c r="BM23" s="1065"/>
      <c r="BN23" s="1065"/>
      <c r="BO23" s="1065"/>
      <c r="BP23" s="1065"/>
      <c r="BQ23" s="1065"/>
      <c r="BR23" s="1065"/>
      <c r="BS23" s="1065"/>
      <c r="BT23" s="1065"/>
      <c r="BU23" s="1065"/>
      <c r="BV23" s="1065"/>
      <c r="BW23" s="1065"/>
      <c r="BX23" s="1065"/>
      <c r="BY23" s="1065"/>
      <c r="BZ23" s="1065"/>
      <c r="CA23" s="1065"/>
      <c r="CB23" s="1065"/>
      <c r="CC23" s="1065"/>
      <c r="CD23" s="1066"/>
    </row>
    <row r="24" spans="2:82" s="1018" customFormat="1" ht="15.75" customHeight="1">
      <c r="B24" s="2247" t="s">
        <v>386</v>
      </c>
      <c r="C24" s="2248"/>
      <c r="D24" s="2249" t="s">
        <v>771</v>
      </c>
      <c r="E24" s="2249"/>
      <c r="F24" s="2249"/>
      <c r="G24" s="2249"/>
      <c r="H24" s="2249"/>
      <c r="I24" s="1097" t="s">
        <v>26</v>
      </c>
      <c r="J24" s="2250" t="s">
        <v>1227</v>
      </c>
      <c r="K24" s="2250"/>
      <c r="L24" s="2262" t="str">
        <f>npwp</f>
        <v>...-.</v>
      </c>
      <c r="M24" s="2262"/>
      <c r="N24" s="2262"/>
      <c r="O24" s="2262"/>
      <c r="P24" s="2262"/>
      <c r="Q24" s="2262"/>
      <c r="R24" s="2262"/>
      <c r="S24" s="2262"/>
      <c r="T24" s="2262"/>
      <c r="U24" s="2262"/>
      <c r="V24" s="2262"/>
      <c r="W24" s="2262"/>
      <c r="X24" s="2262"/>
      <c r="Y24" s="2262"/>
      <c r="Z24" s="2262"/>
      <c r="AA24" s="2262"/>
      <c r="AB24" s="2262"/>
      <c r="AC24" s="2262"/>
      <c r="AD24" s="2262"/>
      <c r="AE24" s="2262"/>
      <c r="AF24" s="2262"/>
      <c r="AG24" s="2262"/>
      <c r="AH24" s="2262"/>
      <c r="AI24" s="2262"/>
      <c r="AJ24" s="2262"/>
      <c r="AK24" s="2262"/>
      <c r="AL24" s="2262"/>
      <c r="AM24" s="2262"/>
      <c r="AN24" s="2262"/>
      <c r="AO24" s="2262"/>
      <c r="AP24" s="2262"/>
      <c r="AQ24" s="2262"/>
      <c r="AR24" s="2262"/>
      <c r="AS24" s="2262"/>
      <c r="AT24" s="2262"/>
      <c r="AU24" s="2262"/>
      <c r="AV24" s="2262"/>
      <c r="AW24" s="2262"/>
      <c r="AX24" s="1098"/>
      <c r="AY24" s="1099"/>
      <c r="AZ24" s="2251" t="s">
        <v>391</v>
      </c>
      <c r="BA24" s="2251"/>
      <c r="BB24" s="2251"/>
      <c r="BC24" s="1113" t="s">
        <v>1307</v>
      </c>
      <c r="BD24" s="1113"/>
      <c r="BE24" s="1113"/>
      <c r="BF24" s="1113"/>
      <c r="BG24" s="1113"/>
      <c r="BH24" s="1113"/>
      <c r="BI24" s="1113"/>
      <c r="BJ24" s="1113"/>
      <c r="BK24" s="1113"/>
      <c r="BL24" s="1113"/>
      <c r="BM24" s="1113"/>
      <c r="BN24" s="1113"/>
      <c r="BO24" s="1113"/>
      <c r="BP24" s="1113"/>
      <c r="BQ24" s="1113"/>
      <c r="BR24" s="1113"/>
      <c r="BS24" s="1113"/>
      <c r="BT24" s="1113"/>
      <c r="BU24" s="1113"/>
      <c r="BV24" s="1113"/>
      <c r="BW24" s="1113"/>
      <c r="BX24" s="1113"/>
      <c r="BY24" s="1113"/>
      <c r="BZ24" s="1113"/>
      <c r="CA24" s="1113"/>
      <c r="CB24" s="1113"/>
      <c r="CC24" s="1113"/>
      <c r="CD24" s="2263"/>
    </row>
    <row r="25" spans="2:82" s="1018" customFormat="1" ht="6" customHeight="1">
      <c r="B25" s="1100"/>
      <c r="C25" s="1101"/>
      <c r="D25" s="1101"/>
      <c r="E25" s="1101"/>
      <c r="F25" s="1101"/>
      <c r="G25" s="1101"/>
      <c r="H25" s="1101"/>
      <c r="I25" s="1101"/>
      <c r="J25" s="1101"/>
      <c r="K25" s="1101"/>
      <c r="L25" s="1101"/>
      <c r="M25" s="1101"/>
      <c r="N25" s="1101"/>
      <c r="O25" s="1102"/>
      <c r="P25" s="1102"/>
      <c r="Q25" s="1102"/>
      <c r="R25" s="1103"/>
      <c r="S25" s="1103"/>
      <c r="T25" s="1103"/>
      <c r="U25" s="1103"/>
      <c r="V25" s="1103"/>
      <c r="W25" s="1103"/>
      <c r="X25" s="1103"/>
      <c r="Y25" s="1103"/>
      <c r="Z25" s="1103"/>
      <c r="AA25" s="1103"/>
      <c r="AB25" s="1103"/>
      <c r="AC25" s="1103"/>
      <c r="AD25" s="1103"/>
      <c r="AE25" s="1103"/>
      <c r="AF25" s="1103"/>
      <c r="AG25" s="1103"/>
      <c r="AH25" s="1103"/>
      <c r="AI25" s="1103"/>
      <c r="AJ25" s="1103"/>
      <c r="AK25" s="1103"/>
      <c r="AL25" s="1103"/>
      <c r="AM25" s="1103"/>
      <c r="AN25" s="1103"/>
      <c r="AO25" s="1103"/>
      <c r="AP25" s="1104"/>
      <c r="AQ25" s="1104"/>
      <c r="AR25" s="1104"/>
      <c r="AS25" s="1104"/>
      <c r="AT25" s="1104"/>
      <c r="AU25" s="1104"/>
      <c r="AV25" s="1104"/>
      <c r="AW25" s="1104"/>
      <c r="AX25" s="1070"/>
      <c r="AY25" s="1070"/>
      <c r="AZ25" s="1104"/>
      <c r="BA25" s="1104"/>
      <c r="BB25" s="1104"/>
      <c r="BC25" s="1152"/>
      <c r="BD25" s="1152"/>
      <c r="BE25" s="1152"/>
      <c r="BF25" s="1152"/>
      <c r="BG25" s="1152"/>
      <c r="BH25" s="1152"/>
      <c r="BI25" s="1152"/>
      <c r="BJ25" s="1152"/>
      <c r="BK25" s="1152"/>
      <c r="BL25" s="1152"/>
      <c r="BM25" s="1152"/>
      <c r="BN25" s="1152"/>
      <c r="BO25" s="1152"/>
      <c r="BP25" s="1152"/>
      <c r="BQ25" s="1152"/>
      <c r="BR25" s="1152"/>
      <c r="BS25" s="1152"/>
      <c r="BT25" s="1152"/>
      <c r="BU25" s="1152"/>
      <c r="BV25" s="1152"/>
      <c r="BW25" s="1152"/>
      <c r="BX25" s="1152"/>
      <c r="BY25" s="1152"/>
      <c r="BZ25" s="1152"/>
      <c r="CA25" s="1152"/>
      <c r="CB25" s="1152"/>
      <c r="CC25" s="1152"/>
      <c r="CD25" s="1153"/>
    </row>
    <row r="26" spans="2:84" s="1018" customFormat="1" ht="15.75" customHeight="1">
      <c r="B26" s="1108" t="s">
        <v>387</v>
      </c>
      <c r="C26" s="1109"/>
      <c r="D26" s="2259" t="s">
        <v>1228</v>
      </c>
      <c r="E26" s="2259"/>
      <c r="F26" s="2259"/>
      <c r="G26" s="2259"/>
      <c r="H26" s="2259"/>
      <c r="I26" s="1109" t="s">
        <v>26</v>
      </c>
      <c r="J26" s="2230" t="s">
        <v>1229</v>
      </c>
      <c r="K26" s="2230"/>
      <c r="L26" s="2230"/>
      <c r="M26" s="2230"/>
      <c r="N26" s="2230"/>
      <c r="O26" s="2230"/>
      <c r="P26" s="2230"/>
      <c r="Q26" s="2230"/>
      <c r="R26" s="2230"/>
      <c r="S26" s="2230"/>
      <c r="T26" s="2230"/>
      <c r="U26" s="2230"/>
      <c r="V26" s="2230"/>
      <c r="W26" s="2230"/>
      <c r="X26" s="2230"/>
      <c r="Y26" s="2230"/>
      <c r="Z26" s="2230"/>
      <c r="AA26" s="2230"/>
      <c r="AB26" s="2230"/>
      <c r="AC26" s="2230"/>
      <c r="AD26" s="2230"/>
      <c r="AE26" s="2230"/>
      <c r="AF26" s="2230"/>
      <c r="AG26" s="2230"/>
      <c r="AH26" s="2230"/>
      <c r="AI26" s="2230"/>
      <c r="AJ26" s="2230"/>
      <c r="AK26" s="2230"/>
      <c r="AL26" s="2230"/>
      <c r="AM26" s="2230"/>
      <c r="AN26" s="2230"/>
      <c r="AO26" s="2230"/>
      <c r="AP26" s="2230"/>
      <c r="AQ26" s="2230"/>
      <c r="AR26" s="2230"/>
      <c r="AS26" s="2230"/>
      <c r="AT26" s="2230"/>
      <c r="AU26" s="2230"/>
      <c r="AV26" s="2230"/>
      <c r="AW26" s="2230"/>
      <c r="AX26" s="1094"/>
      <c r="AY26" s="1094"/>
      <c r="AZ26" s="1106"/>
      <c r="BA26" s="1106"/>
      <c r="BB26" s="1106"/>
      <c r="BC26" s="1151" t="s">
        <v>466</v>
      </c>
      <c r="BD26" s="1151"/>
      <c r="BE26" s="2252" t="str">
        <f>'1770S JP'!T49</f>
        <v/>
      </c>
      <c r="BF26" s="2252"/>
      <c r="BG26" s="2252"/>
      <c r="BH26" s="2252"/>
      <c r="BI26" s="1151"/>
      <c r="BJ26" s="1151"/>
      <c r="BK26" s="1151"/>
      <c r="BL26" s="1151" t="s">
        <v>467</v>
      </c>
      <c r="BM26" s="1151"/>
      <c r="BN26" s="2252" t="str">
        <f>'1770S JP'!P49</f>
        <v/>
      </c>
      <c r="BO26" s="2252"/>
      <c r="BP26" s="2252"/>
      <c r="BQ26" s="1151"/>
      <c r="BR26" s="1151"/>
      <c r="BS26" s="1151"/>
      <c r="BT26" s="1151" t="s">
        <v>1230</v>
      </c>
      <c r="BU26" s="1151"/>
      <c r="BV26" s="2254" t="str">
        <f>'1770S JP'!X49</f>
        <v/>
      </c>
      <c r="BW26" s="2254"/>
      <c r="BX26" s="2254"/>
      <c r="BY26" s="1151"/>
      <c r="BZ26" s="1151"/>
      <c r="CA26" s="1151"/>
      <c r="CB26" s="1151"/>
      <c r="CC26" s="1151"/>
      <c r="CD26" s="1154"/>
      <c r="CE26" s="1080"/>
      <c r="CF26" s="1080"/>
    </row>
    <row r="27" spans="2:84" s="1018" customFormat="1" ht="9" customHeight="1">
      <c r="B27" s="1108"/>
      <c r="C27" s="1109"/>
      <c r="D27" s="2259"/>
      <c r="E27" s="2259"/>
      <c r="F27" s="2259"/>
      <c r="G27" s="2259"/>
      <c r="H27" s="2259"/>
      <c r="I27" s="1109"/>
      <c r="J27" s="2230"/>
      <c r="K27" s="2230"/>
      <c r="L27" s="2260"/>
      <c r="M27" s="2260"/>
      <c r="N27" s="2260"/>
      <c r="O27" s="2260"/>
      <c r="P27" s="2260"/>
      <c r="Q27" s="2260"/>
      <c r="R27" s="2260"/>
      <c r="S27" s="2260"/>
      <c r="T27" s="2260"/>
      <c r="U27" s="2260"/>
      <c r="V27" s="2260"/>
      <c r="W27" s="2260"/>
      <c r="X27" s="2260"/>
      <c r="Y27" s="2260"/>
      <c r="Z27" s="2260"/>
      <c r="AA27" s="2260"/>
      <c r="AB27" s="2260"/>
      <c r="AC27" s="2260"/>
      <c r="AD27" s="2260"/>
      <c r="AE27" s="2260"/>
      <c r="AF27" s="2260"/>
      <c r="AG27" s="2260"/>
      <c r="AH27" s="2260"/>
      <c r="AI27" s="2260"/>
      <c r="AJ27" s="2260"/>
      <c r="AK27" s="2260"/>
      <c r="AL27" s="2260"/>
      <c r="AM27" s="2260"/>
      <c r="AN27" s="2260"/>
      <c r="AO27" s="2260"/>
      <c r="AP27" s="2260"/>
      <c r="AQ27" s="2260"/>
      <c r="AR27" s="2260"/>
      <c r="AS27" s="2260"/>
      <c r="AT27" s="2260"/>
      <c r="AU27" s="2260"/>
      <c r="AV27" s="2260"/>
      <c r="AW27" s="2260"/>
      <c r="AX27" s="1094"/>
      <c r="AY27" s="1094"/>
      <c r="AZ27" s="1106"/>
      <c r="BA27" s="1106"/>
      <c r="BB27" s="1106"/>
      <c r="BC27" s="1151"/>
      <c r="BD27" s="1151"/>
      <c r="BE27" s="2253"/>
      <c r="BF27" s="2253"/>
      <c r="BG27" s="2253"/>
      <c r="BH27" s="2253"/>
      <c r="BI27" s="1151" t="s">
        <v>1231</v>
      </c>
      <c r="BJ27" s="1151"/>
      <c r="BK27" s="1151"/>
      <c r="BL27" s="1151"/>
      <c r="BM27" s="1151"/>
      <c r="BN27" s="2253"/>
      <c r="BO27" s="2253"/>
      <c r="BP27" s="2253"/>
      <c r="BQ27" s="1151" t="s">
        <v>1232</v>
      </c>
      <c r="BR27" s="1151"/>
      <c r="BS27" s="1151"/>
      <c r="BT27" s="1151"/>
      <c r="BU27" s="1151"/>
      <c r="BV27" s="2255"/>
      <c r="BW27" s="2255"/>
      <c r="BX27" s="2255"/>
      <c r="BY27" s="1151" t="s">
        <v>1233</v>
      </c>
      <c r="BZ27" s="1151"/>
      <c r="CA27" s="1151"/>
      <c r="CB27" s="1151"/>
      <c r="CC27" s="1151"/>
      <c r="CD27" s="1154"/>
      <c r="CE27" s="1080"/>
      <c r="CF27" s="1080"/>
    </row>
    <row r="28" spans="2:84" s="1018" customFormat="1" ht="6" customHeight="1">
      <c r="B28" s="1111"/>
      <c r="C28" s="1112"/>
      <c r="D28" s="1112"/>
      <c r="E28" s="1101"/>
      <c r="F28" s="1113"/>
      <c r="G28" s="1113"/>
      <c r="H28" s="1113"/>
      <c r="I28" s="1113"/>
      <c r="J28" s="1101"/>
      <c r="K28" s="1101"/>
      <c r="L28" s="1101"/>
      <c r="M28" s="1113"/>
      <c r="N28" s="1113"/>
      <c r="O28" s="1114"/>
      <c r="P28" s="1114"/>
      <c r="Q28" s="1114"/>
      <c r="R28" s="1106"/>
      <c r="S28" s="1106"/>
      <c r="T28" s="1106"/>
      <c r="U28" s="1106"/>
      <c r="V28" s="1106"/>
      <c r="W28" s="1106"/>
      <c r="X28" s="1106"/>
      <c r="Y28" s="1106"/>
      <c r="Z28" s="1106"/>
      <c r="AA28" s="1106"/>
      <c r="AB28" s="1106"/>
      <c r="AC28" s="1106"/>
      <c r="AD28" s="1106"/>
      <c r="AE28" s="1106"/>
      <c r="AF28" s="1106"/>
      <c r="AG28" s="1106"/>
      <c r="AH28" s="1106"/>
      <c r="AI28" s="1106"/>
      <c r="AJ28" s="1106"/>
      <c r="AK28" s="1106"/>
      <c r="AL28" s="1106"/>
      <c r="AM28" s="1106"/>
      <c r="AN28" s="1106"/>
      <c r="AO28" s="1106"/>
      <c r="AP28" s="1106"/>
      <c r="AQ28" s="1106"/>
      <c r="AR28" s="1106"/>
      <c r="AS28" s="1106"/>
      <c r="AT28" s="1106"/>
      <c r="AU28" s="1106"/>
      <c r="AV28" s="1106"/>
      <c r="AW28" s="1106"/>
      <c r="AX28" s="1094"/>
      <c r="AY28" s="1094"/>
      <c r="AZ28" s="1106"/>
      <c r="BA28" s="1106"/>
      <c r="BB28" s="1106"/>
      <c r="BC28" s="1151"/>
      <c r="BD28" s="1151"/>
      <c r="BE28" s="1151"/>
      <c r="BF28" s="1151"/>
      <c r="BG28" s="1151"/>
      <c r="BH28" s="1151"/>
      <c r="BI28" s="1151"/>
      <c r="BJ28" s="1151"/>
      <c r="BK28" s="1151"/>
      <c r="BL28" s="1151"/>
      <c r="BM28" s="1151"/>
      <c r="BN28" s="1151"/>
      <c r="BO28" s="1151"/>
      <c r="BP28" s="1151"/>
      <c r="BQ28" s="1151"/>
      <c r="BR28" s="1151"/>
      <c r="BS28" s="1151"/>
      <c r="BT28" s="1151"/>
      <c r="BU28" s="1151"/>
      <c r="BV28" s="1151"/>
      <c r="BW28" s="1151"/>
      <c r="BX28" s="1151"/>
      <c r="BY28" s="1151"/>
      <c r="BZ28" s="1151"/>
      <c r="CA28" s="1151"/>
      <c r="CB28" s="1151"/>
      <c r="CC28" s="1151"/>
      <c r="CD28" s="1154"/>
      <c r="CE28" s="1080"/>
      <c r="CF28" s="1080"/>
    </row>
    <row r="29" spans="2:84" s="1018" customFormat="1" ht="15.75" customHeight="1">
      <c r="B29" s="1108" t="s">
        <v>388</v>
      </c>
      <c r="C29" s="1109"/>
      <c r="D29" s="1109" t="s">
        <v>770</v>
      </c>
      <c r="E29" s="1109"/>
      <c r="F29" s="1109"/>
      <c r="G29" s="1109"/>
      <c r="H29" s="1109"/>
      <c r="I29" s="1115" t="s">
        <v>26</v>
      </c>
      <c r="J29" s="2256" t="s">
        <v>1234</v>
      </c>
      <c r="K29" s="2256"/>
      <c r="L29" s="2257">
        <f>name</f>
        <v>0</v>
      </c>
      <c r="M29" s="2257"/>
      <c r="N29" s="2257"/>
      <c r="O29" s="2257"/>
      <c r="P29" s="2257"/>
      <c r="Q29" s="2257"/>
      <c r="R29" s="2257"/>
      <c r="S29" s="2257"/>
      <c r="T29" s="2257"/>
      <c r="U29" s="2257"/>
      <c r="V29" s="2257"/>
      <c r="W29" s="2257"/>
      <c r="X29" s="2257"/>
      <c r="Y29" s="2257"/>
      <c r="Z29" s="2257"/>
      <c r="AA29" s="2257"/>
      <c r="AB29" s="2257"/>
      <c r="AC29" s="2257"/>
      <c r="AD29" s="2257"/>
      <c r="AE29" s="2257"/>
      <c r="AF29" s="2257"/>
      <c r="AG29" s="2257"/>
      <c r="AH29" s="2257"/>
      <c r="AI29" s="2257"/>
      <c r="AJ29" s="2257"/>
      <c r="AK29" s="2257"/>
      <c r="AL29" s="2257"/>
      <c r="AM29" s="2257"/>
      <c r="AN29" s="2257"/>
      <c r="AO29" s="2257"/>
      <c r="AP29" s="2257"/>
      <c r="AQ29" s="2257"/>
      <c r="AR29" s="2257"/>
      <c r="AS29" s="2257"/>
      <c r="AT29" s="2257"/>
      <c r="AU29" s="2257"/>
      <c r="AV29" s="2257"/>
      <c r="AW29" s="2257"/>
      <c r="AX29" s="1094"/>
      <c r="AY29" s="1094"/>
      <c r="AZ29" s="2245" t="s">
        <v>394</v>
      </c>
      <c r="BA29" s="2245"/>
      <c r="BB29" s="2245"/>
      <c r="BC29" s="1151" t="s">
        <v>1308</v>
      </c>
      <c r="BD29" s="1151"/>
      <c r="BE29" s="1151"/>
      <c r="BF29" s="1151"/>
      <c r="BG29" s="1151"/>
      <c r="BH29" s="1151"/>
      <c r="BI29" s="1151"/>
      <c r="BJ29" s="1151"/>
      <c r="BK29" s="1151"/>
      <c r="BL29" s="1151" t="s">
        <v>1235</v>
      </c>
      <c r="BM29" s="1151"/>
      <c r="BN29" s="2258"/>
      <c r="BO29" s="2258"/>
      <c r="BP29" s="2258"/>
      <c r="BQ29" s="2258"/>
      <c r="BR29" s="2258"/>
      <c r="BS29" s="2258"/>
      <c r="BT29" s="2258"/>
      <c r="BU29" s="2258"/>
      <c r="BV29" s="2258"/>
      <c r="BW29" s="2258"/>
      <c r="BX29" s="2258"/>
      <c r="BY29" s="2258"/>
      <c r="BZ29" s="2258"/>
      <c r="CA29" s="2258"/>
      <c r="CB29" s="2258"/>
      <c r="CC29" s="2258"/>
      <c r="CD29" s="1154"/>
      <c r="CE29" s="1080"/>
      <c r="CF29" s="1080"/>
    </row>
    <row r="30" spans="2:84" s="1018" customFormat="1" ht="6" customHeight="1">
      <c r="B30" s="1108"/>
      <c r="C30" s="1109"/>
      <c r="D30" s="1116"/>
      <c r="E30" s="1116"/>
      <c r="F30" s="1116"/>
      <c r="G30" s="1116"/>
      <c r="H30" s="1116"/>
      <c r="I30" s="1115"/>
      <c r="J30" s="1117"/>
      <c r="K30" s="1117"/>
      <c r="L30" s="1117"/>
      <c r="M30" s="1115"/>
      <c r="N30" s="1104"/>
      <c r="O30" s="1104"/>
      <c r="P30" s="1104"/>
      <c r="Q30" s="1114"/>
      <c r="R30" s="1106"/>
      <c r="S30" s="1106"/>
      <c r="T30" s="1106"/>
      <c r="U30" s="1106"/>
      <c r="V30" s="1106"/>
      <c r="W30" s="1106"/>
      <c r="X30" s="1106"/>
      <c r="Y30" s="1106"/>
      <c r="Z30" s="1106"/>
      <c r="AA30" s="1106"/>
      <c r="AB30" s="1106"/>
      <c r="AC30" s="1106"/>
      <c r="AD30" s="1106"/>
      <c r="AE30" s="1106"/>
      <c r="AF30" s="1106"/>
      <c r="AG30" s="1106"/>
      <c r="AH30" s="1106"/>
      <c r="AI30" s="1106"/>
      <c r="AJ30" s="1106"/>
      <c r="AK30" s="1106"/>
      <c r="AL30" s="1106"/>
      <c r="AM30" s="1106"/>
      <c r="AN30" s="1106"/>
      <c r="AO30" s="1106"/>
      <c r="AP30" s="1106"/>
      <c r="AQ30" s="1106"/>
      <c r="AR30" s="1106"/>
      <c r="AS30" s="1106"/>
      <c r="AT30" s="1106"/>
      <c r="AU30" s="1106"/>
      <c r="AV30" s="1106"/>
      <c r="AW30" s="1106"/>
      <c r="AX30" s="1094"/>
      <c r="AY30" s="1094"/>
      <c r="AZ30" s="1106"/>
      <c r="BA30" s="1106"/>
      <c r="BB30" s="1106"/>
      <c r="BC30" s="1151"/>
      <c r="BD30" s="1151"/>
      <c r="BE30" s="1151"/>
      <c r="BF30" s="1151"/>
      <c r="BG30" s="1151"/>
      <c r="BH30" s="1151"/>
      <c r="BI30" s="1151"/>
      <c r="BJ30" s="1151"/>
      <c r="BK30" s="1151"/>
      <c r="BL30" s="1151"/>
      <c r="BM30" s="1151"/>
      <c r="BN30" s="1151"/>
      <c r="BO30" s="1151"/>
      <c r="BP30" s="1151"/>
      <c r="BQ30" s="1151"/>
      <c r="BR30" s="1151"/>
      <c r="BS30" s="1151"/>
      <c r="BT30" s="1151"/>
      <c r="BU30" s="1151"/>
      <c r="BV30" s="1151"/>
      <c r="BW30" s="1151"/>
      <c r="BX30" s="1151"/>
      <c r="BY30" s="1151"/>
      <c r="BZ30" s="1151"/>
      <c r="CA30" s="1151"/>
      <c r="CB30" s="1151"/>
      <c r="CC30" s="1151"/>
      <c r="CD30" s="1154"/>
      <c r="CE30" s="1080"/>
      <c r="CF30" s="1080"/>
    </row>
    <row r="31" spans="2:82" s="1018" customFormat="1" ht="15.75" customHeight="1">
      <c r="B31" s="2247" t="s">
        <v>389</v>
      </c>
      <c r="C31" s="2248"/>
      <c r="D31" s="2249" t="s">
        <v>772</v>
      </c>
      <c r="E31" s="2249"/>
      <c r="F31" s="2249"/>
      <c r="G31" s="2249"/>
      <c r="H31" s="2249"/>
      <c r="I31" s="1097" t="s">
        <v>26</v>
      </c>
      <c r="J31" s="2250" t="s">
        <v>1236</v>
      </c>
      <c r="K31" s="2250"/>
      <c r="L31" s="2244"/>
      <c r="M31" s="2244"/>
      <c r="N31" s="2244"/>
      <c r="O31" s="2244"/>
      <c r="P31" s="2244"/>
      <c r="Q31" s="2244"/>
      <c r="R31" s="2244"/>
      <c r="S31" s="2244"/>
      <c r="T31" s="2244"/>
      <c r="U31" s="2244"/>
      <c r="V31" s="2244"/>
      <c r="W31" s="2244"/>
      <c r="X31" s="2244"/>
      <c r="Y31" s="2244"/>
      <c r="Z31" s="2244"/>
      <c r="AA31" s="2244"/>
      <c r="AB31" s="2244"/>
      <c r="AC31" s="2244"/>
      <c r="AD31" s="2244"/>
      <c r="AE31" s="2244"/>
      <c r="AF31" s="2244"/>
      <c r="AG31" s="2244"/>
      <c r="AH31" s="2244"/>
      <c r="AI31" s="2244"/>
      <c r="AJ31" s="2244"/>
      <c r="AK31" s="2244"/>
      <c r="AL31" s="2244"/>
      <c r="AM31" s="2244"/>
      <c r="AN31" s="2244"/>
      <c r="AO31" s="2244"/>
      <c r="AP31" s="2244"/>
      <c r="AQ31" s="2244"/>
      <c r="AR31" s="2244"/>
      <c r="AS31" s="2244"/>
      <c r="AT31" s="2244"/>
      <c r="AU31" s="2244"/>
      <c r="AV31" s="2244"/>
      <c r="AW31" s="2244"/>
      <c r="AX31" s="1098"/>
      <c r="AY31" s="1099"/>
      <c r="AZ31" s="2251" t="s">
        <v>395</v>
      </c>
      <c r="BA31" s="2251"/>
      <c r="BB31" s="2251"/>
      <c r="BC31" s="1113" t="s">
        <v>1309</v>
      </c>
      <c r="BD31" s="1113"/>
      <c r="BE31" s="1113"/>
      <c r="BF31" s="1113"/>
      <c r="BG31" s="1113"/>
      <c r="BH31" s="1113"/>
      <c r="BI31" s="1113"/>
      <c r="BJ31" s="1113"/>
      <c r="BK31" s="1113"/>
      <c r="BL31" s="1113"/>
      <c r="BM31" s="1113"/>
      <c r="BN31" s="1115"/>
      <c r="BO31" s="1109" t="s">
        <v>1237</v>
      </c>
      <c r="BP31" s="1109"/>
      <c r="BQ31" s="2239"/>
      <c r="BR31" s="2240"/>
      <c r="BS31" s="2241"/>
      <c r="BT31" s="2242" t="s">
        <v>1238</v>
      </c>
      <c r="BU31" s="2243"/>
      <c r="BV31" s="2243"/>
      <c r="BW31" s="1155"/>
      <c r="BX31" s="1155"/>
      <c r="BY31" s="1152"/>
      <c r="BZ31" s="1152"/>
      <c r="CA31" s="1152"/>
      <c r="CB31" s="1152"/>
      <c r="CC31" s="1152"/>
      <c r="CD31" s="1153"/>
    </row>
    <row r="32" spans="2:82" s="1018" customFormat="1" ht="6" customHeight="1">
      <c r="B32" s="1100"/>
      <c r="C32" s="1101"/>
      <c r="D32" s="1101"/>
      <c r="E32" s="1101"/>
      <c r="F32" s="1101"/>
      <c r="G32" s="1101"/>
      <c r="H32" s="1101"/>
      <c r="I32" s="1101"/>
      <c r="J32" s="1101"/>
      <c r="K32" s="1101"/>
      <c r="L32" s="1101"/>
      <c r="M32" s="1101"/>
      <c r="N32" s="1101"/>
      <c r="O32" s="1102"/>
      <c r="P32" s="1102"/>
      <c r="Q32" s="1102"/>
      <c r="R32" s="1103"/>
      <c r="S32" s="1103"/>
      <c r="T32" s="1103"/>
      <c r="U32" s="1103"/>
      <c r="V32" s="1103"/>
      <c r="W32" s="1103"/>
      <c r="X32" s="1103"/>
      <c r="Y32" s="1103"/>
      <c r="Z32" s="1103"/>
      <c r="AA32" s="1103"/>
      <c r="AB32" s="1103"/>
      <c r="AC32" s="1103"/>
      <c r="AD32" s="1103"/>
      <c r="AE32" s="1103"/>
      <c r="AF32" s="1103"/>
      <c r="AG32" s="1103"/>
      <c r="AH32" s="1103"/>
      <c r="AI32" s="1103"/>
      <c r="AJ32" s="1103"/>
      <c r="AK32" s="1103"/>
      <c r="AL32" s="1103"/>
      <c r="AM32" s="1103"/>
      <c r="AN32" s="1103"/>
      <c r="AO32" s="1103"/>
      <c r="AP32" s="1104"/>
      <c r="AQ32" s="1104"/>
      <c r="AR32" s="1104"/>
      <c r="AS32" s="1104"/>
      <c r="AT32" s="1104"/>
      <c r="AU32" s="1104"/>
      <c r="AV32" s="1104"/>
      <c r="AW32" s="1104"/>
      <c r="AX32" s="1070"/>
      <c r="AY32" s="1070"/>
      <c r="AZ32" s="1104"/>
      <c r="BA32" s="1104"/>
      <c r="BB32" s="1104"/>
      <c r="BC32" s="1104"/>
      <c r="BD32" s="1104"/>
      <c r="BE32" s="1104"/>
      <c r="BF32" s="1104"/>
      <c r="BG32" s="1104"/>
      <c r="BH32" s="1104"/>
      <c r="BI32" s="1104"/>
      <c r="BJ32" s="1104"/>
      <c r="BK32" s="1104"/>
      <c r="BL32" s="1104"/>
      <c r="BM32" s="1104"/>
      <c r="BN32" s="1104"/>
      <c r="BO32" s="1104"/>
      <c r="BP32" s="1104"/>
      <c r="BQ32" s="1104"/>
      <c r="BR32" s="1104"/>
      <c r="BS32" s="1104"/>
      <c r="BT32" s="1104"/>
      <c r="BU32" s="1104"/>
      <c r="BV32" s="1104"/>
      <c r="BW32" s="1104"/>
      <c r="BX32" s="1104"/>
      <c r="BY32" s="1104"/>
      <c r="BZ32" s="1104"/>
      <c r="CA32" s="1104"/>
      <c r="CB32" s="1104"/>
      <c r="CC32" s="1104"/>
      <c r="CD32" s="1105"/>
    </row>
    <row r="33" spans="2:84" s="1018" customFormat="1" ht="15.75" customHeight="1">
      <c r="B33" s="1108"/>
      <c r="C33" s="1109"/>
      <c r="D33" s="1116"/>
      <c r="E33" s="1116"/>
      <c r="F33" s="1116"/>
      <c r="G33" s="1116"/>
      <c r="H33" s="1116"/>
      <c r="I33" s="1115"/>
      <c r="J33" s="1118"/>
      <c r="K33" s="1118"/>
      <c r="L33" s="2244"/>
      <c r="M33" s="2244"/>
      <c r="N33" s="2244"/>
      <c r="O33" s="2244"/>
      <c r="P33" s="2244"/>
      <c r="Q33" s="2244"/>
      <c r="R33" s="2244"/>
      <c r="S33" s="2244"/>
      <c r="T33" s="2244"/>
      <c r="U33" s="2244"/>
      <c r="V33" s="2244"/>
      <c r="W33" s="2244"/>
      <c r="X33" s="2244"/>
      <c r="Y33" s="2244"/>
      <c r="Z33" s="2244"/>
      <c r="AA33" s="2244"/>
      <c r="AB33" s="2244"/>
      <c r="AC33" s="2244"/>
      <c r="AD33" s="2244"/>
      <c r="AE33" s="2244"/>
      <c r="AF33" s="2244"/>
      <c r="AG33" s="2244"/>
      <c r="AH33" s="2244"/>
      <c r="AI33" s="2244"/>
      <c r="AJ33" s="2244"/>
      <c r="AK33" s="2244"/>
      <c r="AL33" s="2244"/>
      <c r="AM33" s="2244"/>
      <c r="AN33" s="2244"/>
      <c r="AO33" s="2244"/>
      <c r="AP33" s="2244"/>
      <c r="AQ33" s="2244"/>
      <c r="AR33" s="2244"/>
      <c r="AS33" s="2244"/>
      <c r="AT33" s="2244"/>
      <c r="AU33" s="2244"/>
      <c r="AV33" s="2244"/>
      <c r="AW33" s="2244"/>
      <c r="AX33" s="1094"/>
      <c r="AY33" s="1094"/>
      <c r="AZ33" s="2245" t="s">
        <v>396</v>
      </c>
      <c r="BA33" s="2245"/>
      <c r="BB33" s="2245"/>
      <c r="BC33" s="1151" t="s">
        <v>1306</v>
      </c>
      <c r="BD33" s="1151"/>
      <c r="BE33" s="1151"/>
      <c r="BF33" s="1151"/>
      <c r="BG33" s="1151"/>
      <c r="BH33" s="1151"/>
      <c r="BI33" s="1151"/>
      <c r="BJ33" s="1151"/>
      <c r="BK33" s="1151"/>
      <c r="BL33" s="1151"/>
      <c r="BM33" s="1106"/>
      <c r="BN33" s="1106"/>
      <c r="BO33" s="1110"/>
      <c r="BP33" s="1110" t="s">
        <v>1239</v>
      </c>
      <c r="BQ33" s="1110"/>
      <c r="BR33" s="2246"/>
      <c r="BS33" s="2246"/>
      <c r="BT33" s="2246"/>
      <c r="BU33" s="1106"/>
      <c r="BV33" s="1106"/>
      <c r="BW33" s="1106"/>
      <c r="BX33" s="1106"/>
      <c r="BY33" s="1106"/>
      <c r="BZ33" s="1106"/>
      <c r="CA33" s="1106"/>
      <c r="CB33" s="1106"/>
      <c r="CC33" s="1106"/>
      <c r="CD33" s="1107"/>
      <c r="CE33" s="1080"/>
      <c r="CF33" s="1080"/>
    </row>
    <row r="34" spans="2:84" s="1018" customFormat="1" ht="6" customHeight="1">
      <c r="B34" s="1111"/>
      <c r="C34" s="1112"/>
      <c r="D34" s="1112"/>
      <c r="E34" s="1101"/>
      <c r="F34" s="1113"/>
      <c r="G34" s="1113"/>
      <c r="H34" s="1113"/>
      <c r="I34" s="1113"/>
      <c r="J34" s="1113"/>
      <c r="K34" s="1113"/>
      <c r="L34" s="1113"/>
      <c r="M34" s="1113"/>
      <c r="N34" s="1113"/>
      <c r="O34" s="1114"/>
      <c r="P34" s="1114"/>
      <c r="Q34" s="1114"/>
      <c r="R34" s="1106"/>
      <c r="S34" s="1106"/>
      <c r="T34" s="1106"/>
      <c r="U34" s="1106"/>
      <c r="V34" s="1106"/>
      <c r="W34" s="1106"/>
      <c r="X34" s="1106"/>
      <c r="Y34" s="1106"/>
      <c r="Z34" s="1106"/>
      <c r="AA34" s="1106"/>
      <c r="AB34" s="1106"/>
      <c r="AC34" s="1106"/>
      <c r="AD34" s="1106"/>
      <c r="AE34" s="1106"/>
      <c r="AF34" s="1106"/>
      <c r="AG34" s="1106"/>
      <c r="AH34" s="1106"/>
      <c r="AI34" s="1106"/>
      <c r="AJ34" s="1106"/>
      <c r="AK34" s="1106"/>
      <c r="AL34" s="1106"/>
      <c r="AM34" s="1106"/>
      <c r="AN34" s="1106"/>
      <c r="AO34" s="1106"/>
      <c r="AP34" s="1106"/>
      <c r="AQ34" s="1106"/>
      <c r="AR34" s="1106"/>
      <c r="AS34" s="1106"/>
      <c r="AT34" s="1106"/>
      <c r="AU34" s="1106"/>
      <c r="AV34" s="1106"/>
      <c r="AW34" s="1106"/>
      <c r="AX34" s="1094"/>
      <c r="AY34" s="1094"/>
      <c r="AZ34" s="1106"/>
      <c r="BA34" s="1106"/>
      <c r="BB34" s="1106"/>
      <c r="BC34" s="1106"/>
      <c r="BD34" s="1106"/>
      <c r="BE34" s="1106"/>
      <c r="BF34" s="1106"/>
      <c r="BG34" s="1106"/>
      <c r="BH34" s="1106"/>
      <c r="BI34" s="1106"/>
      <c r="BJ34" s="1106"/>
      <c r="BK34" s="1106"/>
      <c r="BL34" s="1106"/>
      <c r="BM34" s="1106"/>
      <c r="BN34" s="1106"/>
      <c r="BO34" s="1106"/>
      <c r="BP34" s="1106"/>
      <c r="BQ34" s="1106"/>
      <c r="BR34" s="1106"/>
      <c r="BS34" s="1106"/>
      <c r="BT34" s="1106"/>
      <c r="BU34" s="1106"/>
      <c r="BV34" s="1106"/>
      <c r="BW34" s="1106"/>
      <c r="BX34" s="1106"/>
      <c r="BY34" s="1106"/>
      <c r="BZ34" s="1106"/>
      <c r="CA34" s="1106"/>
      <c r="CB34" s="1106"/>
      <c r="CC34" s="1106"/>
      <c r="CD34" s="1107"/>
      <c r="CE34" s="1080"/>
      <c r="CF34" s="1080"/>
    </row>
    <row r="35" spans="2:84" s="1018" customFormat="1" ht="15.75" customHeight="1">
      <c r="B35" s="1108" t="s">
        <v>390</v>
      </c>
      <c r="C35" s="1109"/>
      <c r="D35" s="1116" t="s">
        <v>1310</v>
      </c>
      <c r="E35" s="1116"/>
      <c r="F35" s="1116"/>
      <c r="G35" s="1116"/>
      <c r="H35" s="1116"/>
      <c r="I35" s="1116"/>
      <c r="J35" s="1116"/>
      <c r="K35" s="1116"/>
      <c r="L35" s="1116"/>
      <c r="M35" s="2230" t="s">
        <v>1240</v>
      </c>
      <c r="N35" s="2230"/>
      <c r="O35" s="2230"/>
      <c r="P35" s="2231"/>
      <c r="Q35" s="2232"/>
      <c r="R35" s="2233"/>
      <c r="S35" s="2234"/>
      <c r="T35" s="1106" t="s">
        <v>773</v>
      </c>
      <c r="U35" s="1106"/>
      <c r="V35" s="1106"/>
      <c r="W35" s="1106"/>
      <c r="X35" s="1106"/>
      <c r="Y35" s="1106"/>
      <c r="Z35" s="1106"/>
      <c r="AA35" s="1106"/>
      <c r="AB35" s="1106"/>
      <c r="AC35" s="1106"/>
      <c r="AD35" s="1110" t="s">
        <v>1241</v>
      </c>
      <c r="AE35" s="1106"/>
      <c r="AF35" s="1106"/>
      <c r="AG35" s="1119"/>
      <c r="AH35" s="2235"/>
      <c r="AI35" s="2236"/>
      <c r="AJ35" s="2237"/>
      <c r="AK35" s="1106"/>
      <c r="AL35" s="1106" t="s">
        <v>774</v>
      </c>
      <c r="AM35" s="1106"/>
      <c r="AN35" s="1106"/>
      <c r="AO35" s="1106"/>
      <c r="AP35" s="1106"/>
      <c r="AQ35" s="1106"/>
      <c r="AR35" s="1106"/>
      <c r="AS35" s="1106"/>
      <c r="AT35" s="1106"/>
      <c r="AU35" s="1106"/>
      <c r="AV35" s="1106"/>
      <c r="AW35" s="1106"/>
      <c r="AX35" s="1094"/>
      <c r="AY35" s="1094"/>
      <c r="AZ35" s="1094"/>
      <c r="BA35" s="1094"/>
      <c r="BB35" s="1094"/>
      <c r="BC35" s="1094"/>
      <c r="BD35" s="1094"/>
      <c r="BE35" s="1094"/>
      <c r="BF35" s="1094"/>
      <c r="BG35" s="1094"/>
      <c r="BH35" s="1094"/>
      <c r="BI35" s="1094"/>
      <c r="BJ35" s="1094"/>
      <c r="BK35" s="1094"/>
      <c r="BL35" s="1094"/>
      <c r="BM35" s="1094"/>
      <c r="BN35" s="1094"/>
      <c r="BO35" s="1094"/>
      <c r="BP35" s="1094"/>
      <c r="BQ35" s="1094"/>
      <c r="BR35" s="1094"/>
      <c r="BS35" s="1094"/>
      <c r="BT35" s="1094"/>
      <c r="BU35" s="1094"/>
      <c r="BV35" s="1094"/>
      <c r="BW35" s="1094"/>
      <c r="BX35" s="1094"/>
      <c r="BY35" s="1094"/>
      <c r="BZ35" s="1094"/>
      <c r="CA35" s="1094"/>
      <c r="CB35" s="1094"/>
      <c r="CC35" s="1094"/>
      <c r="CD35" s="1079"/>
      <c r="CE35" s="1080"/>
      <c r="CF35" s="1080"/>
    </row>
    <row r="36" spans="2:84" s="1018" customFormat="1" ht="9.75" customHeight="1" thickBot="1">
      <c r="B36" s="1081"/>
      <c r="C36" s="1082"/>
      <c r="D36" s="1120"/>
      <c r="E36" s="1120"/>
      <c r="F36" s="1120"/>
      <c r="G36" s="1120"/>
      <c r="H36" s="1120"/>
      <c r="I36" s="1120"/>
      <c r="J36" s="1120"/>
      <c r="K36" s="1120"/>
      <c r="L36" s="1121"/>
      <c r="M36" s="1121"/>
      <c r="N36" s="1121"/>
      <c r="O36" s="1122"/>
      <c r="P36" s="1122"/>
      <c r="Q36" s="1123"/>
      <c r="R36" s="1086"/>
      <c r="S36" s="1086"/>
      <c r="T36" s="1086"/>
      <c r="U36" s="1086"/>
      <c r="V36" s="1086"/>
      <c r="W36" s="1086"/>
      <c r="X36" s="1086"/>
      <c r="Y36" s="1086"/>
      <c r="Z36" s="1086"/>
      <c r="AA36" s="1086"/>
      <c r="AB36" s="1086"/>
      <c r="AC36" s="1086"/>
      <c r="AD36" s="1124"/>
      <c r="AE36" s="1086"/>
      <c r="AF36" s="1086"/>
      <c r="AG36" s="1086"/>
      <c r="AH36" s="1086"/>
      <c r="AI36" s="1086"/>
      <c r="AJ36" s="1086"/>
      <c r="AK36" s="1086"/>
      <c r="AL36" s="1086"/>
      <c r="AM36" s="1086"/>
      <c r="AN36" s="1086"/>
      <c r="AO36" s="1086"/>
      <c r="AP36" s="1086"/>
      <c r="AQ36" s="1086"/>
      <c r="AR36" s="1086"/>
      <c r="AS36" s="1086"/>
      <c r="AT36" s="1086"/>
      <c r="AU36" s="1086"/>
      <c r="AV36" s="1086"/>
      <c r="AW36" s="1086"/>
      <c r="AX36" s="1086"/>
      <c r="AY36" s="1086"/>
      <c r="AZ36" s="1086"/>
      <c r="BA36" s="1086"/>
      <c r="BB36" s="1086"/>
      <c r="BC36" s="1086"/>
      <c r="BD36" s="1086"/>
      <c r="BE36" s="1086"/>
      <c r="BF36" s="1086"/>
      <c r="BG36" s="1086"/>
      <c r="BH36" s="1086"/>
      <c r="BI36" s="1086"/>
      <c r="BJ36" s="1086"/>
      <c r="BK36" s="1086"/>
      <c r="BL36" s="1086"/>
      <c r="BM36" s="1086"/>
      <c r="BN36" s="1086"/>
      <c r="BO36" s="1086"/>
      <c r="BP36" s="1086"/>
      <c r="BQ36" s="1086"/>
      <c r="BR36" s="1086"/>
      <c r="BS36" s="1086"/>
      <c r="BT36" s="1086"/>
      <c r="BU36" s="1086"/>
      <c r="BV36" s="1086"/>
      <c r="BW36" s="1086"/>
      <c r="BX36" s="1086"/>
      <c r="BY36" s="1086"/>
      <c r="BZ36" s="1086"/>
      <c r="CA36" s="1086"/>
      <c r="CB36" s="1086"/>
      <c r="CC36" s="1086"/>
      <c r="CD36" s="1087"/>
      <c r="CE36" s="1080"/>
      <c r="CF36" s="1080"/>
    </row>
    <row r="37" spans="2:84" s="1018" customFormat="1" ht="24" customHeight="1">
      <c r="B37" s="2238" t="s">
        <v>1242</v>
      </c>
      <c r="C37" s="2238"/>
      <c r="D37" s="2238"/>
      <c r="E37" s="2238"/>
      <c r="F37" s="2238"/>
      <c r="G37" s="2238"/>
      <c r="H37" s="2238"/>
      <c r="I37" s="2238"/>
      <c r="J37" s="2238"/>
      <c r="K37" s="2238"/>
      <c r="L37" s="2238"/>
      <c r="M37" s="2238"/>
      <c r="N37" s="2238"/>
      <c r="O37" s="2238"/>
      <c r="P37" s="2238"/>
      <c r="Q37" s="2238"/>
      <c r="R37" s="2238"/>
      <c r="S37" s="2238"/>
      <c r="T37" s="2238"/>
      <c r="U37" s="2238"/>
      <c r="V37" s="2238"/>
      <c r="W37" s="2238"/>
      <c r="X37" s="2238"/>
      <c r="Y37" s="2238"/>
      <c r="Z37" s="2238"/>
      <c r="AA37" s="2238"/>
      <c r="AB37" s="2238"/>
      <c r="AC37" s="2238"/>
      <c r="AD37" s="2238"/>
      <c r="AE37" s="2238"/>
      <c r="AF37" s="2238"/>
      <c r="AG37" s="2238"/>
      <c r="AH37" s="2238"/>
      <c r="AI37" s="2238"/>
      <c r="AJ37" s="2238"/>
      <c r="AK37" s="2238"/>
      <c r="AL37" s="2238"/>
      <c r="AM37" s="2238"/>
      <c r="AN37" s="2238"/>
      <c r="AO37" s="2238"/>
      <c r="AP37" s="2238"/>
      <c r="AQ37" s="2238"/>
      <c r="AR37" s="2238"/>
      <c r="AS37" s="2238"/>
      <c r="AT37" s="2238"/>
      <c r="AU37" s="2238"/>
      <c r="AV37" s="2238"/>
      <c r="AW37" s="2238"/>
      <c r="AX37" s="2238"/>
      <c r="AY37" s="2238"/>
      <c r="AZ37" s="2238"/>
      <c r="BA37" s="2238"/>
      <c r="BB37" s="2238"/>
      <c r="BC37" s="2238"/>
      <c r="BD37" s="2238"/>
      <c r="BE37" s="2238"/>
      <c r="BF37" s="2238"/>
      <c r="BG37" s="2238"/>
      <c r="BH37" s="1156"/>
      <c r="BI37" s="1156"/>
      <c r="BJ37" s="1156"/>
      <c r="BK37" s="1156"/>
      <c r="BL37" s="1156"/>
      <c r="BM37" s="1156"/>
      <c r="BN37" s="1156"/>
      <c r="BO37" s="1156"/>
      <c r="BP37" s="1156"/>
      <c r="BQ37" s="1156"/>
      <c r="BR37" s="1156"/>
      <c r="BS37" s="1156"/>
      <c r="BT37" s="1156"/>
      <c r="BU37" s="1156"/>
      <c r="BV37" s="1156"/>
      <c r="BW37" s="1156"/>
      <c r="BX37" s="1156"/>
      <c r="BY37" s="1156"/>
      <c r="BZ37" s="1156"/>
      <c r="CA37" s="1156"/>
      <c r="CB37" s="1156"/>
      <c r="CC37" s="1156"/>
      <c r="CD37" s="1157"/>
      <c r="CE37" s="1080"/>
      <c r="CF37" s="1080"/>
    </row>
    <row r="38" spans="2:84" s="1018" customFormat="1" ht="3" customHeight="1">
      <c r="B38" s="1163"/>
      <c r="C38" s="1163"/>
      <c r="D38" s="1164"/>
      <c r="E38" s="1164"/>
      <c r="F38" s="1164"/>
      <c r="G38" s="1164"/>
      <c r="H38" s="1164"/>
      <c r="I38" s="1165"/>
      <c r="J38" s="1158"/>
      <c r="K38" s="1158"/>
      <c r="L38" s="1158"/>
      <c r="M38" s="1165"/>
      <c r="N38" s="1159"/>
      <c r="O38" s="1159"/>
      <c r="P38" s="1159"/>
      <c r="Q38" s="1160"/>
      <c r="R38" s="1161"/>
      <c r="S38" s="1161"/>
      <c r="T38" s="1161"/>
      <c r="U38" s="1161"/>
      <c r="V38" s="1161"/>
      <c r="W38" s="1161"/>
      <c r="X38" s="1161"/>
      <c r="Y38" s="1161"/>
      <c r="Z38" s="1161"/>
      <c r="AA38" s="1161"/>
      <c r="AB38" s="1161"/>
      <c r="AC38" s="1161"/>
      <c r="AD38" s="1161"/>
      <c r="AE38" s="1161"/>
      <c r="AF38" s="1161"/>
      <c r="AG38" s="1161"/>
      <c r="AH38" s="1161"/>
      <c r="AI38" s="1161"/>
      <c r="AJ38" s="1161"/>
      <c r="AK38" s="1161"/>
      <c r="AL38" s="1161"/>
      <c r="AM38" s="1161"/>
      <c r="AN38" s="1161"/>
      <c r="AO38" s="1161"/>
      <c r="AP38" s="1161"/>
      <c r="AQ38" s="1161"/>
      <c r="AR38" s="1161"/>
      <c r="AS38" s="1161"/>
      <c r="AT38" s="1161"/>
      <c r="AU38" s="1161"/>
      <c r="AV38" s="1161"/>
      <c r="AW38" s="1161"/>
      <c r="AX38" s="1161"/>
      <c r="AY38" s="1161"/>
      <c r="AZ38" s="1161"/>
      <c r="BA38" s="1161"/>
      <c r="BB38" s="1161"/>
      <c r="BC38" s="1161"/>
      <c r="BD38" s="1161"/>
      <c r="BE38" s="1161"/>
      <c r="BF38" s="1161"/>
      <c r="BG38" s="1161"/>
      <c r="BH38" s="1161"/>
      <c r="BI38" s="1161"/>
      <c r="BJ38" s="1161"/>
      <c r="BK38" s="1161"/>
      <c r="BL38" s="1161"/>
      <c r="BM38" s="1161"/>
      <c r="BN38" s="1161"/>
      <c r="BO38" s="1161"/>
      <c r="BP38" s="1161"/>
      <c r="BQ38" s="1161"/>
      <c r="BR38" s="1161"/>
      <c r="BS38" s="1161"/>
      <c r="BT38" s="1161"/>
      <c r="BU38" s="1161"/>
      <c r="BV38" s="1161"/>
      <c r="BW38" s="1161"/>
      <c r="BX38" s="1161"/>
      <c r="BY38" s="1161"/>
      <c r="BZ38" s="1161"/>
      <c r="CA38" s="1161"/>
      <c r="CB38" s="1161"/>
      <c r="CC38" s="1161"/>
      <c r="CD38" s="1157"/>
      <c r="CE38" s="1080"/>
      <c r="CF38" s="1080"/>
    </row>
    <row r="39" spans="2:84" s="1126" customFormat="1" ht="19" customHeight="1">
      <c r="B39" s="2219" t="s">
        <v>1243</v>
      </c>
      <c r="C39" s="2220"/>
      <c r="D39" s="2220"/>
      <c r="E39" s="2220"/>
      <c r="F39" s="2220"/>
      <c r="G39" s="2220"/>
      <c r="H39" s="2220"/>
      <c r="I39" s="2220"/>
      <c r="J39" s="2220"/>
      <c r="K39" s="2220"/>
      <c r="L39" s="2220"/>
      <c r="M39" s="2220"/>
      <c r="N39" s="2220"/>
      <c r="O39" s="2220"/>
      <c r="P39" s="2220"/>
      <c r="Q39" s="2220"/>
      <c r="R39" s="2220"/>
      <c r="S39" s="2220"/>
      <c r="T39" s="2220"/>
      <c r="U39" s="2220"/>
      <c r="V39" s="2220"/>
      <c r="W39" s="2220"/>
      <c r="X39" s="2220"/>
      <c r="Y39" s="2220"/>
      <c r="Z39" s="2220"/>
      <c r="AA39" s="2220"/>
      <c r="AB39" s="2220"/>
      <c r="AC39" s="2220"/>
      <c r="AD39" s="2220"/>
      <c r="AE39" s="2220"/>
      <c r="AF39" s="2220"/>
      <c r="AG39" s="2220"/>
      <c r="AH39" s="2220"/>
      <c r="AI39" s="2220"/>
      <c r="AJ39" s="2220"/>
      <c r="AK39" s="2220"/>
      <c r="AL39" s="2220"/>
      <c r="AM39" s="2220"/>
      <c r="AN39" s="2220"/>
      <c r="AO39" s="2220"/>
      <c r="AP39" s="2220"/>
      <c r="AQ39" s="2220"/>
      <c r="AR39" s="2220"/>
      <c r="AS39" s="2220"/>
      <c r="AT39" s="2220"/>
      <c r="AU39" s="2220"/>
      <c r="AV39" s="2220"/>
      <c r="AW39" s="2220"/>
      <c r="AX39" s="2220"/>
      <c r="AY39" s="2220"/>
      <c r="AZ39" s="2220"/>
      <c r="BA39" s="2220"/>
      <c r="BB39" s="2220"/>
      <c r="BC39" s="2220"/>
      <c r="BD39" s="2220"/>
      <c r="BE39" s="2220"/>
      <c r="BF39" s="2220"/>
      <c r="BG39" s="2220"/>
      <c r="BH39" s="2220"/>
      <c r="BI39" s="2220"/>
      <c r="BJ39" s="2220"/>
      <c r="BK39" s="2220"/>
      <c r="BL39" s="2220"/>
      <c r="BM39" s="2221"/>
      <c r="BN39" s="2222" t="s">
        <v>1311</v>
      </c>
      <c r="BO39" s="2223"/>
      <c r="BP39" s="2223"/>
      <c r="BQ39" s="2223"/>
      <c r="BR39" s="2223"/>
      <c r="BS39" s="2223"/>
      <c r="BT39" s="2223"/>
      <c r="BU39" s="2223"/>
      <c r="BV39" s="2223"/>
      <c r="BW39" s="2223"/>
      <c r="BX39" s="2223"/>
      <c r="BY39" s="2223"/>
      <c r="BZ39" s="2223"/>
      <c r="CA39" s="2223"/>
      <c r="CB39" s="2223"/>
      <c r="CC39" s="2223"/>
      <c r="CD39" s="2224"/>
      <c r="CE39" s="1125"/>
      <c r="CF39" s="1125"/>
    </row>
    <row r="40" spans="2:84" s="1126" customFormat="1" ht="3" customHeight="1">
      <c r="B40" s="1166"/>
      <c r="C40" s="1167"/>
      <c r="D40" s="1167"/>
      <c r="E40" s="1167"/>
      <c r="F40" s="1167"/>
      <c r="G40" s="1167"/>
      <c r="H40" s="1167"/>
      <c r="I40" s="1167"/>
      <c r="J40" s="1167"/>
      <c r="K40" s="1167"/>
      <c r="L40" s="1167"/>
      <c r="M40" s="1167"/>
      <c r="N40" s="1167"/>
      <c r="O40" s="1167"/>
      <c r="P40" s="1167"/>
      <c r="Q40" s="1167"/>
      <c r="R40" s="1167"/>
      <c r="S40" s="1167"/>
      <c r="T40" s="1167"/>
      <c r="U40" s="1167"/>
      <c r="V40" s="1167"/>
      <c r="W40" s="1167"/>
      <c r="X40" s="1167"/>
      <c r="Y40" s="1167"/>
      <c r="Z40" s="1167"/>
      <c r="AA40" s="1167"/>
      <c r="AB40" s="1167"/>
      <c r="AC40" s="1167"/>
      <c r="AD40" s="1168"/>
      <c r="AE40" s="1168"/>
      <c r="AF40" s="1168"/>
      <c r="AG40" s="1168"/>
      <c r="AH40" s="1168"/>
      <c r="AI40" s="1168"/>
      <c r="AJ40" s="1168"/>
      <c r="AK40" s="1168"/>
      <c r="AL40" s="1168"/>
      <c r="AM40" s="1168"/>
      <c r="AN40" s="1168"/>
      <c r="AO40" s="1168"/>
      <c r="AP40" s="1168"/>
      <c r="AQ40" s="1168"/>
      <c r="AR40" s="1168"/>
      <c r="AS40" s="1168"/>
      <c r="AT40" s="1168"/>
      <c r="AU40" s="1168"/>
      <c r="AV40" s="1168"/>
      <c r="AW40" s="1168"/>
      <c r="AX40" s="1168"/>
      <c r="AY40" s="1168"/>
      <c r="AZ40" s="1168"/>
      <c r="BA40" s="1168"/>
      <c r="BB40" s="1168"/>
      <c r="BC40" s="1168"/>
      <c r="BD40" s="1168"/>
      <c r="BE40" s="1168"/>
      <c r="BF40" s="1168"/>
      <c r="BG40" s="1168"/>
      <c r="BH40" s="1168"/>
      <c r="BI40" s="1168"/>
      <c r="BJ40" s="1168"/>
      <c r="BK40" s="1168"/>
      <c r="BL40" s="1168"/>
      <c r="BM40" s="1168"/>
      <c r="BN40" s="1169"/>
      <c r="BO40" s="1170"/>
      <c r="BP40" s="1170"/>
      <c r="BQ40" s="1170"/>
      <c r="BR40" s="1170"/>
      <c r="BS40" s="1170"/>
      <c r="BT40" s="1170"/>
      <c r="BU40" s="1170"/>
      <c r="BV40" s="1170"/>
      <c r="BW40" s="1170"/>
      <c r="BX40" s="1170"/>
      <c r="BY40" s="1170"/>
      <c r="BZ40" s="1170"/>
      <c r="CA40" s="1170"/>
      <c r="CB40" s="1170"/>
      <c r="CC40" s="1170"/>
      <c r="CD40" s="1171"/>
      <c r="CE40" s="1125"/>
      <c r="CF40" s="1125"/>
    </row>
    <row r="41" spans="2:84" s="1127" customFormat="1" ht="17.25" customHeight="1">
      <c r="B41" s="2225" t="s">
        <v>1244</v>
      </c>
      <c r="C41" s="2226"/>
      <c r="D41" s="2226"/>
      <c r="E41" s="2226"/>
      <c r="F41" s="2226"/>
      <c r="G41" s="2226"/>
      <c r="H41" s="2226"/>
      <c r="I41" s="2226"/>
      <c r="J41" s="2226"/>
      <c r="K41" s="2226"/>
      <c r="L41" s="2226"/>
      <c r="M41" s="1172" t="s">
        <v>26</v>
      </c>
      <c r="N41" s="1172"/>
      <c r="O41" s="2222"/>
      <c r="P41" s="2223"/>
      <c r="Q41" s="2224"/>
      <c r="R41" s="2227" t="s">
        <v>1245</v>
      </c>
      <c r="S41" s="2228"/>
      <c r="T41" s="2228"/>
      <c r="U41" s="2228"/>
      <c r="V41" s="2228"/>
      <c r="W41" s="2228"/>
      <c r="X41" s="2228"/>
      <c r="Y41" s="2228"/>
      <c r="Z41" s="1172"/>
      <c r="AA41" s="2222"/>
      <c r="AB41" s="2223"/>
      <c r="AC41" s="2223"/>
      <c r="AD41" s="2224"/>
      <c r="AE41" s="2225" t="s">
        <v>1246</v>
      </c>
      <c r="AF41" s="2226"/>
      <c r="AG41" s="2226"/>
      <c r="AH41" s="2226"/>
      <c r="AI41" s="2226"/>
      <c r="AJ41" s="2226"/>
      <c r="AK41" s="2226"/>
      <c r="AL41" s="2226"/>
      <c r="AM41" s="2226"/>
      <c r="AN41" s="2226"/>
      <c r="AO41" s="1162"/>
      <c r="AP41" s="1162"/>
      <c r="AQ41" s="1162"/>
      <c r="AR41" s="1162"/>
      <c r="AS41" s="1162"/>
      <c r="AT41" s="1162"/>
      <c r="AU41" s="1162"/>
      <c r="AV41" s="1172"/>
      <c r="AW41" s="1172"/>
      <c r="AX41" s="1172"/>
      <c r="AY41" s="1172"/>
      <c r="AZ41" s="1172"/>
      <c r="BA41" s="1172"/>
      <c r="BB41" s="1172"/>
      <c r="BC41" s="1172"/>
      <c r="BD41" s="1172"/>
      <c r="BE41" s="1172"/>
      <c r="BF41" s="2228"/>
      <c r="BG41" s="2228"/>
      <c r="BH41" s="2228"/>
      <c r="BI41" s="2228"/>
      <c r="BJ41" s="2228"/>
      <c r="BK41" s="2228"/>
      <c r="BL41" s="2228"/>
      <c r="BM41" s="2228"/>
      <c r="BN41" s="2227"/>
      <c r="BO41" s="2228"/>
      <c r="BP41" s="2228"/>
      <c r="BQ41" s="2228"/>
      <c r="BR41" s="2228"/>
      <c r="BS41" s="2228"/>
      <c r="BT41" s="2228"/>
      <c r="BU41" s="2228"/>
      <c r="BV41" s="2228"/>
      <c r="BW41" s="2228"/>
      <c r="BX41" s="2228"/>
      <c r="BY41" s="2228"/>
      <c r="BZ41" s="2228"/>
      <c r="CA41" s="2228"/>
      <c r="CB41" s="2228"/>
      <c r="CC41" s="2228"/>
      <c r="CD41" s="2229"/>
      <c r="CE41" s="1128"/>
      <c r="CF41" s="1128"/>
    </row>
    <row r="42" spans="2:84" s="1127" customFormat="1" ht="3" customHeight="1">
      <c r="B42" s="1129"/>
      <c r="C42" s="1130"/>
      <c r="D42" s="1130"/>
      <c r="E42" s="1130"/>
      <c r="F42" s="1130"/>
      <c r="G42" s="1130"/>
      <c r="H42" s="1130"/>
      <c r="I42" s="1130"/>
      <c r="J42" s="1130"/>
      <c r="K42" s="1130"/>
      <c r="L42" s="1130"/>
      <c r="M42" s="1130"/>
      <c r="N42" s="1130"/>
      <c r="O42" s="1130"/>
      <c r="P42" s="1130"/>
      <c r="Q42" s="1130"/>
      <c r="R42" s="1130"/>
      <c r="S42" s="1130"/>
      <c r="T42" s="1130"/>
      <c r="U42" s="1130"/>
      <c r="V42" s="1130"/>
      <c r="W42" s="1130"/>
      <c r="X42" s="1130"/>
      <c r="Y42" s="1130"/>
      <c r="Z42" s="1130"/>
      <c r="AA42" s="1130"/>
      <c r="AB42" s="1130"/>
      <c r="AC42" s="1130"/>
      <c r="AD42" s="1130"/>
      <c r="AE42" s="1130"/>
      <c r="AF42" s="1130"/>
      <c r="AG42" s="1130"/>
      <c r="AH42" s="1130"/>
      <c r="AI42" s="1130"/>
      <c r="AJ42" s="1130"/>
      <c r="AK42" s="1130"/>
      <c r="AL42" s="1130"/>
      <c r="AM42" s="1130"/>
      <c r="AN42" s="1130"/>
      <c r="AO42" s="1130"/>
      <c r="AP42" s="1130"/>
      <c r="AQ42" s="1130"/>
      <c r="AR42" s="1130"/>
      <c r="AS42" s="1130"/>
      <c r="AT42" s="1130"/>
      <c r="AU42" s="1130"/>
      <c r="AV42" s="1130"/>
      <c r="AW42" s="1130"/>
      <c r="AX42" s="1130"/>
      <c r="AY42" s="1130"/>
      <c r="AZ42" s="1130"/>
      <c r="BA42" s="1130"/>
      <c r="BB42" s="1130"/>
      <c r="BC42" s="1130"/>
      <c r="BD42" s="1130"/>
      <c r="BE42" s="1130"/>
      <c r="BF42" s="1130"/>
      <c r="BG42" s="1131"/>
      <c r="BH42" s="1131"/>
      <c r="BI42" s="1131"/>
      <c r="BJ42" s="1131"/>
      <c r="BK42" s="1131"/>
      <c r="BL42" s="1131"/>
      <c r="BM42" s="1131"/>
      <c r="BN42" s="1132"/>
      <c r="BO42" s="1133"/>
      <c r="BP42" s="1133"/>
      <c r="BQ42" s="1133"/>
      <c r="BR42" s="1133"/>
      <c r="BS42" s="1133"/>
      <c r="BT42" s="1133"/>
      <c r="BU42" s="1133"/>
      <c r="BV42" s="1133"/>
      <c r="BW42" s="1133"/>
      <c r="BX42" s="1133"/>
      <c r="BY42" s="1133"/>
      <c r="BZ42" s="1133"/>
      <c r="CA42" s="1133"/>
      <c r="CB42" s="1133"/>
      <c r="CC42" s="1133"/>
      <c r="CD42" s="1134"/>
      <c r="CE42" s="1128"/>
      <c r="CF42" s="1128"/>
    </row>
    <row r="43" spans="2:84" s="1127" customFormat="1" ht="20.15" customHeight="1">
      <c r="B43" s="2214" t="s">
        <v>775</v>
      </c>
      <c r="C43" s="2215"/>
      <c r="D43" s="2215"/>
      <c r="E43" s="2215"/>
      <c r="F43" s="2215"/>
      <c r="G43" s="2215"/>
      <c r="H43" s="2215"/>
      <c r="I43" s="2215"/>
      <c r="J43" s="2215"/>
      <c r="K43" s="2215"/>
      <c r="L43" s="2215"/>
      <c r="M43" s="2215"/>
      <c r="N43" s="2215"/>
      <c r="O43" s="2215"/>
      <c r="P43" s="2215"/>
      <c r="Q43" s="2215"/>
      <c r="R43" s="2215"/>
      <c r="S43" s="2215"/>
      <c r="T43" s="2215"/>
      <c r="U43" s="1135"/>
      <c r="V43" s="1135"/>
      <c r="W43" s="1135"/>
      <c r="X43" s="1135"/>
      <c r="Y43" s="1135"/>
      <c r="Z43" s="1135"/>
      <c r="AA43" s="1135"/>
      <c r="AB43" s="1135"/>
      <c r="AC43" s="1135"/>
      <c r="AD43" s="1135"/>
      <c r="AE43" s="1135"/>
      <c r="AF43" s="1135"/>
      <c r="AG43" s="1135"/>
      <c r="AH43" s="1135"/>
      <c r="AI43" s="1135"/>
      <c r="AJ43" s="1135"/>
      <c r="AK43" s="1135"/>
      <c r="AL43" s="1135"/>
      <c r="AM43" s="1135"/>
      <c r="AN43" s="1135"/>
      <c r="AO43" s="1135"/>
      <c r="AP43" s="1135"/>
      <c r="AQ43" s="1135"/>
      <c r="AR43" s="1135"/>
      <c r="AS43" s="1135"/>
      <c r="AT43" s="1135"/>
      <c r="AU43" s="1135"/>
      <c r="AV43" s="1135"/>
      <c r="AW43" s="1135"/>
      <c r="AX43" s="1135"/>
      <c r="AY43" s="1135"/>
      <c r="AZ43" s="1135"/>
      <c r="BA43" s="1135"/>
      <c r="BB43" s="1135"/>
      <c r="BC43" s="1135"/>
      <c r="BD43" s="1135"/>
      <c r="BE43" s="1135"/>
      <c r="BF43" s="1135"/>
      <c r="BG43" s="1136"/>
      <c r="BH43" s="1136"/>
      <c r="BI43" s="1136"/>
      <c r="BJ43" s="1136"/>
      <c r="BK43" s="1136"/>
      <c r="BL43" s="1136"/>
      <c r="BM43" s="1136"/>
      <c r="BN43" s="2216"/>
      <c r="BO43" s="2217"/>
      <c r="BP43" s="2217"/>
      <c r="BQ43" s="2217"/>
      <c r="BR43" s="2217"/>
      <c r="BS43" s="2217"/>
      <c r="BT43" s="2217"/>
      <c r="BU43" s="2217"/>
      <c r="BV43" s="2217"/>
      <c r="BW43" s="2217"/>
      <c r="BX43" s="2217"/>
      <c r="BY43" s="2217"/>
      <c r="BZ43" s="2217"/>
      <c r="CA43" s="2217"/>
      <c r="CB43" s="2217"/>
      <c r="CC43" s="2217"/>
      <c r="CD43" s="2218"/>
      <c r="CE43" s="1128"/>
      <c r="CF43" s="1128"/>
    </row>
    <row r="44" spans="2:84" s="1126" customFormat="1" ht="20.15" customHeight="1">
      <c r="B44" s="2192" t="s">
        <v>386</v>
      </c>
      <c r="C44" s="2193"/>
      <c r="D44" s="2194" t="s">
        <v>1312</v>
      </c>
      <c r="E44" s="1182"/>
      <c r="F44" s="1182"/>
      <c r="G44" s="1182"/>
      <c r="H44" s="1182"/>
      <c r="I44" s="1182"/>
      <c r="J44" s="1182"/>
      <c r="K44" s="1182"/>
      <c r="L44" s="1182"/>
      <c r="M44" s="1182"/>
      <c r="N44" s="1182"/>
      <c r="O44" s="1182"/>
      <c r="P44" s="1182"/>
      <c r="Q44" s="1182"/>
      <c r="R44" s="1182"/>
      <c r="S44" s="1182"/>
      <c r="T44" s="1182"/>
      <c r="U44" s="1182"/>
      <c r="V44" s="1182"/>
      <c r="W44" s="1182"/>
      <c r="X44" s="1182"/>
      <c r="Y44" s="1182"/>
      <c r="Z44" s="1182"/>
      <c r="AA44" s="1182"/>
      <c r="AB44" s="1182"/>
      <c r="AC44" s="1182"/>
      <c r="AD44" s="1182"/>
      <c r="AE44" s="1182"/>
      <c r="AF44" s="1182"/>
      <c r="AG44" s="1182"/>
      <c r="AH44" s="1182"/>
      <c r="AI44" s="1182"/>
      <c r="AJ44" s="1182"/>
      <c r="AK44" s="1182"/>
      <c r="AL44" s="1182"/>
      <c r="AM44" s="1182"/>
      <c r="AN44" s="1182"/>
      <c r="AO44" s="1182"/>
      <c r="AP44" s="1182"/>
      <c r="AQ44" s="1182"/>
      <c r="AR44" s="1182"/>
      <c r="AS44" s="1182"/>
      <c r="AT44" s="1182"/>
      <c r="AU44" s="1182"/>
      <c r="AV44" s="1182"/>
      <c r="AW44" s="1182"/>
      <c r="AX44" s="1182"/>
      <c r="AY44" s="1182"/>
      <c r="AZ44" s="1182"/>
      <c r="BA44" s="1182"/>
      <c r="BB44" s="1182"/>
      <c r="BC44" s="1182"/>
      <c r="BD44" s="1182"/>
      <c r="BE44" s="1182"/>
      <c r="BF44" s="1182"/>
      <c r="BG44" s="1182"/>
      <c r="BH44" s="1182"/>
      <c r="BI44" s="1182"/>
      <c r="BJ44" s="1182"/>
      <c r="BK44" s="1182"/>
      <c r="BL44" s="1182"/>
      <c r="BM44" s="2202"/>
      <c r="BN44" s="2200">
        <f>'GENERAL INFO'!G118</f>
        <v>0</v>
      </c>
      <c r="BO44" s="2201"/>
      <c r="BP44" s="2201"/>
      <c r="BQ44" s="2201"/>
      <c r="BR44" s="2201"/>
      <c r="BS44" s="2201"/>
      <c r="BT44" s="2201"/>
      <c r="BU44" s="2201"/>
      <c r="BV44" s="2201"/>
      <c r="BW44" s="2201"/>
      <c r="BX44" s="2201"/>
      <c r="BY44" s="2201"/>
      <c r="BZ44" s="2201"/>
      <c r="CA44" s="2201"/>
      <c r="CB44" s="2201"/>
      <c r="CC44" s="2201"/>
      <c r="CD44" s="1137"/>
      <c r="CE44" s="1138"/>
      <c r="CF44" s="1138"/>
    </row>
    <row r="45" spans="2:84" s="1126" customFormat="1" ht="20.15" customHeight="1">
      <c r="B45" s="2192" t="s">
        <v>387</v>
      </c>
      <c r="C45" s="2193"/>
      <c r="D45" s="2210" t="s">
        <v>776</v>
      </c>
      <c r="E45" s="1173"/>
      <c r="F45" s="1173"/>
      <c r="G45" s="1173"/>
      <c r="H45" s="1173"/>
      <c r="I45" s="1173"/>
      <c r="J45" s="1173"/>
      <c r="K45" s="1173"/>
      <c r="L45" s="1173"/>
      <c r="M45" s="1173"/>
      <c r="N45" s="1173"/>
      <c r="O45" s="1173"/>
      <c r="P45" s="1173"/>
      <c r="Q45" s="1173"/>
      <c r="R45" s="1173"/>
      <c r="S45" s="1173"/>
      <c r="T45" s="1173"/>
      <c r="U45" s="1173"/>
      <c r="V45" s="1173"/>
      <c r="W45" s="1173"/>
      <c r="X45" s="1173"/>
      <c r="Y45" s="1173"/>
      <c r="Z45" s="1173"/>
      <c r="AA45" s="1173"/>
      <c r="AB45" s="1173"/>
      <c r="AC45" s="1173"/>
      <c r="AD45" s="1173"/>
      <c r="AE45" s="1173"/>
      <c r="AF45" s="1173"/>
      <c r="AG45" s="1173"/>
      <c r="AH45" s="1173"/>
      <c r="AI45" s="1173"/>
      <c r="AJ45" s="1173"/>
      <c r="AK45" s="1173"/>
      <c r="AL45" s="1173"/>
      <c r="AM45" s="1173"/>
      <c r="AN45" s="1174"/>
      <c r="AO45" s="1174"/>
      <c r="AP45" s="1174"/>
      <c r="AQ45" s="1174"/>
      <c r="AR45" s="1174"/>
      <c r="AS45" s="1174"/>
      <c r="AT45" s="1174"/>
      <c r="AU45" s="1174"/>
      <c r="AV45" s="1174"/>
      <c r="AW45" s="1174"/>
      <c r="AX45" s="1174"/>
      <c r="AY45" s="1174"/>
      <c r="AZ45" s="1174"/>
      <c r="BA45" s="1174"/>
      <c r="BB45" s="1174"/>
      <c r="BC45" s="1174"/>
      <c r="BD45" s="1174"/>
      <c r="BE45" s="1174"/>
      <c r="BF45" s="1174"/>
      <c r="BG45" s="1174"/>
      <c r="BH45" s="1174"/>
      <c r="BI45" s="1174"/>
      <c r="BJ45" s="1174"/>
      <c r="BK45" s="1174"/>
      <c r="BL45" s="1174"/>
      <c r="BM45" s="1174"/>
      <c r="BN45" s="2200">
        <f>'GENERAL INFO'!G119</f>
        <v>0</v>
      </c>
      <c r="BO45" s="2201"/>
      <c r="BP45" s="2201"/>
      <c r="BQ45" s="2201"/>
      <c r="BR45" s="2201"/>
      <c r="BS45" s="2201"/>
      <c r="BT45" s="2201"/>
      <c r="BU45" s="2201"/>
      <c r="BV45" s="2201"/>
      <c r="BW45" s="2201"/>
      <c r="BX45" s="2201"/>
      <c r="BY45" s="2201"/>
      <c r="BZ45" s="2201"/>
      <c r="CA45" s="2201"/>
      <c r="CB45" s="2201"/>
      <c r="CC45" s="2201"/>
      <c r="CD45" s="1139"/>
      <c r="CE45" s="1138"/>
      <c r="CF45" s="1138"/>
    </row>
    <row r="46" spans="2:84" s="1126" customFormat="1" ht="20.15" customHeight="1">
      <c r="B46" s="2192" t="s">
        <v>388</v>
      </c>
      <c r="C46" s="2193"/>
      <c r="D46" s="2210" t="s">
        <v>1247</v>
      </c>
      <c r="E46" s="1173"/>
      <c r="F46" s="1173"/>
      <c r="G46" s="1173"/>
      <c r="H46" s="1173"/>
      <c r="I46" s="1173"/>
      <c r="J46" s="1173"/>
      <c r="K46" s="1173"/>
      <c r="L46" s="1173"/>
      <c r="M46" s="1173"/>
      <c r="N46" s="1173"/>
      <c r="O46" s="1173"/>
      <c r="P46" s="1173"/>
      <c r="Q46" s="1173"/>
      <c r="R46" s="1173"/>
      <c r="S46" s="1173"/>
      <c r="T46" s="1173"/>
      <c r="U46" s="1173"/>
      <c r="V46" s="1173"/>
      <c r="W46" s="1173"/>
      <c r="X46" s="1173"/>
      <c r="Y46" s="1173"/>
      <c r="Z46" s="1173"/>
      <c r="AA46" s="1173"/>
      <c r="AB46" s="1173"/>
      <c r="AC46" s="1173"/>
      <c r="AD46" s="1173"/>
      <c r="AE46" s="1173"/>
      <c r="AF46" s="1173"/>
      <c r="AG46" s="1173"/>
      <c r="AH46" s="1173"/>
      <c r="AI46" s="1173"/>
      <c r="AJ46" s="1173"/>
      <c r="AK46" s="1173"/>
      <c r="AL46" s="1173"/>
      <c r="AM46" s="1173"/>
      <c r="AN46" s="1173"/>
      <c r="AO46" s="1173"/>
      <c r="AP46" s="1173"/>
      <c r="AQ46" s="1173"/>
      <c r="AR46" s="1173"/>
      <c r="AS46" s="1173"/>
      <c r="AT46" s="1173"/>
      <c r="AU46" s="1173"/>
      <c r="AV46" s="1173"/>
      <c r="AW46" s="1175"/>
      <c r="AX46" s="1174"/>
      <c r="AY46" s="1174"/>
      <c r="AZ46" s="1174"/>
      <c r="BA46" s="1174"/>
      <c r="BB46" s="1174"/>
      <c r="BC46" s="1174"/>
      <c r="BD46" s="1174"/>
      <c r="BE46" s="1174"/>
      <c r="BF46" s="1174"/>
      <c r="BG46" s="1174"/>
      <c r="BH46" s="1174"/>
      <c r="BI46" s="1174"/>
      <c r="BJ46" s="1174"/>
      <c r="BK46" s="1174"/>
      <c r="BL46" s="1174"/>
      <c r="BM46" s="1174"/>
      <c r="BN46" s="2200">
        <f>'GENERAL INFO'!G120</f>
        <v>0</v>
      </c>
      <c r="BO46" s="2201"/>
      <c r="BP46" s="2201"/>
      <c r="BQ46" s="2201"/>
      <c r="BR46" s="2201"/>
      <c r="BS46" s="2201"/>
      <c r="BT46" s="2201"/>
      <c r="BU46" s="2201"/>
      <c r="BV46" s="2201"/>
      <c r="BW46" s="2201"/>
      <c r="BX46" s="2201"/>
      <c r="BY46" s="2201"/>
      <c r="BZ46" s="2201"/>
      <c r="CA46" s="2201"/>
      <c r="CB46" s="2201"/>
      <c r="CC46" s="2201"/>
      <c r="CD46" s="1139"/>
      <c r="CE46" s="1138"/>
      <c r="CF46" s="1138"/>
    </row>
    <row r="47" spans="2:84" s="1126" customFormat="1" ht="20.15" customHeight="1">
      <c r="B47" s="2192" t="s">
        <v>389</v>
      </c>
      <c r="C47" s="2193"/>
      <c r="D47" s="2210" t="s">
        <v>1248</v>
      </c>
      <c r="E47" s="1173"/>
      <c r="F47" s="1173"/>
      <c r="G47" s="1173"/>
      <c r="H47" s="1173"/>
      <c r="I47" s="1173"/>
      <c r="J47" s="1173"/>
      <c r="K47" s="1173"/>
      <c r="L47" s="1173"/>
      <c r="M47" s="1173"/>
      <c r="N47" s="1173"/>
      <c r="O47" s="1173"/>
      <c r="P47" s="1173"/>
      <c r="Q47" s="1173"/>
      <c r="R47" s="1173"/>
      <c r="S47" s="1173"/>
      <c r="T47" s="1173"/>
      <c r="U47" s="1173"/>
      <c r="V47" s="1173"/>
      <c r="W47" s="1173"/>
      <c r="X47" s="1173"/>
      <c r="Y47" s="1173"/>
      <c r="Z47" s="1173"/>
      <c r="AA47" s="1173"/>
      <c r="AB47" s="1173"/>
      <c r="AC47" s="1173"/>
      <c r="AD47" s="1173"/>
      <c r="AE47" s="1173"/>
      <c r="AF47" s="1173"/>
      <c r="AG47" s="1173"/>
      <c r="AH47" s="1173"/>
      <c r="AI47" s="1173"/>
      <c r="AJ47" s="1173"/>
      <c r="AK47" s="1173"/>
      <c r="AL47" s="1173"/>
      <c r="AM47" s="1173"/>
      <c r="AN47" s="1173"/>
      <c r="AO47" s="1173"/>
      <c r="AP47" s="1173"/>
      <c r="AQ47" s="1173"/>
      <c r="AR47" s="1173"/>
      <c r="AS47" s="1173"/>
      <c r="AT47" s="1173"/>
      <c r="AU47" s="1173"/>
      <c r="AV47" s="1173"/>
      <c r="AW47" s="1173"/>
      <c r="AX47" s="1173"/>
      <c r="AY47" s="1173"/>
      <c r="AZ47" s="1173"/>
      <c r="BA47" s="1173"/>
      <c r="BB47" s="1173"/>
      <c r="BC47" s="1173"/>
      <c r="BD47" s="1173"/>
      <c r="BE47" s="1173"/>
      <c r="BF47" s="1173"/>
      <c r="BG47" s="1173"/>
      <c r="BH47" s="1173"/>
      <c r="BI47" s="1173"/>
      <c r="BJ47" s="1173"/>
      <c r="BK47" s="1173"/>
      <c r="BL47" s="1173"/>
      <c r="BM47" s="2211"/>
      <c r="BN47" s="2200">
        <f>'GENERAL INFO'!G121</f>
        <v>0</v>
      </c>
      <c r="BO47" s="2201"/>
      <c r="BP47" s="2201"/>
      <c r="BQ47" s="2201"/>
      <c r="BR47" s="2201"/>
      <c r="BS47" s="2201"/>
      <c r="BT47" s="2201"/>
      <c r="BU47" s="2201"/>
      <c r="BV47" s="2201"/>
      <c r="BW47" s="2201"/>
      <c r="BX47" s="2201"/>
      <c r="BY47" s="2201"/>
      <c r="BZ47" s="2201"/>
      <c r="CA47" s="2201"/>
      <c r="CB47" s="2201"/>
      <c r="CC47" s="2201"/>
      <c r="CD47" s="1139"/>
      <c r="CE47" s="1138"/>
      <c r="CF47" s="1138"/>
    </row>
    <row r="48" spans="2:84" s="1126" customFormat="1" ht="20.15" customHeight="1">
      <c r="B48" s="2192" t="s">
        <v>390</v>
      </c>
      <c r="C48" s="2193"/>
      <c r="D48" s="2210" t="s">
        <v>1249</v>
      </c>
      <c r="E48" s="1173"/>
      <c r="F48" s="1173"/>
      <c r="G48" s="1173"/>
      <c r="H48" s="1173"/>
      <c r="I48" s="1173"/>
      <c r="J48" s="1173"/>
      <c r="K48" s="1173"/>
      <c r="L48" s="1173"/>
      <c r="M48" s="1173"/>
      <c r="N48" s="1173"/>
      <c r="O48" s="1173"/>
      <c r="P48" s="1173"/>
      <c r="Q48" s="1173"/>
      <c r="R48" s="1173"/>
      <c r="S48" s="1173"/>
      <c r="T48" s="1173"/>
      <c r="U48" s="1173"/>
      <c r="V48" s="1173"/>
      <c r="W48" s="1173"/>
      <c r="X48" s="1173"/>
      <c r="Y48" s="1173"/>
      <c r="Z48" s="1173"/>
      <c r="AA48" s="1173"/>
      <c r="AB48" s="1173"/>
      <c r="AC48" s="1173"/>
      <c r="AD48" s="1173"/>
      <c r="AE48" s="1173"/>
      <c r="AF48" s="1173"/>
      <c r="AG48" s="1173"/>
      <c r="AH48" s="1173"/>
      <c r="AI48" s="1173"/>
      <c r="AJ48" s="1173"/>
      <c r="AK48" s="1173"/>
      <c r="AL48" s="1173"/>
      <c r="AM48" s="1173"/>
      <c r="AN48" s="1173"/>
      <c r="AO48" s="1173"/>
      <c r="AP48" s="1173"/>
      <c r="AQ48" s="1173"/>
      <c r="AR48" s="1173"/>
      <c r="AS48" s="1173"/>
      <c r="AT48" s="1173"/>
      <c r="AU48" s="1173"/>
      <c r="AV48" s="1173"/>
      <c r="AW48" s="1173"/>
      <c r="AX48" s="1173"/>
      <c r="AY48" s="1173"/>
      <c r="AZ48" s="1173"/>
      <c r="BA48" s="1173"/>
      <c r="BB48" s="1173"/>
      <c r="BC48" s="1173"/>
      <c r="BD48" s="1173"/>
      <c r="BE48" s="1173"/>
      <c r="BF48" s="1173"/>
      <c r="BG48" s="1173"/>
      <c r="BH48" s="1173"/>
      <c r="BI48" s="1173"/>
      <c r="BJ48" s="1173"/>
      <c r="BK48" s="1173"/>
      <c r="BL48" s="1173"/>
      <c r="BM48" s="2211"/>
      <c r="BN48" s="2200">
        <f>'GENERAL INFO'!G122</f>
        <v>0</v>
      </c>
      <c r="BO48" s="2201"/>
      <c r="BP48" s="2201"/>
      <c r="BQ48" s="2201"/>
      <c r="BR48" s="2201"/>
      <c r="BS48" s="2201"/>
      <c r="BT48" s="2201"/>
      <c r="BU48" s="2201"/>
      <c r="BV48" s="2201"/>
      <c r="BW48" s="2201"/>
      <c r="BX48" s="2201"/>
      <c r="BY48" s="2201"/>
      <c r="BZ48" s="2201"/>
      <c r="CA48" s="2201"/>
      <c r="CB48" s="2201"/>
      <c r="CC48" s="2201"/>
      <c r="CD48" s="1139"/>
      <c r="CE48" s="1138"/>
      <c r="CF48" s="1138"/>
    </row>
    <row r="49" spans="2:84" s="1126" customFormat="1" ht="20.15" customHeight="1">
      <c r="B49" s="2192" t="s">
        <v>391</v>
      </c>
      <c r="C49" s="2193"/>
      <c r="D49" s="2210" t="s">
        <v>1313</v>
      </c>
      <c r="E49" s="2212"/>
      <c r="F49" s="2212"/>
      <c r="G49" s="2212"/>
      <c r="H49" s="2212"/>
      <c r="I49" s="2212"/>
      <c r="J49" s="2212"/>
      <c r="K49" s="2212"/>
      <c r="L49" s="2212"/>
      <c r="M49" s="2212"/>
      <c r="N49" s="2212"/>
      <c r="O49" s="2212"/>
      <c r="P49" s="2212"/>
      <c r="Q49" s="2212"/>
      <c r="R49" s="2212"/>
      <c r="S49" s="2212"/>
      <c r="T49" s="2212"/>
      <c r="U49" s="2212"/>
      <c r="V49" s="2212"/>
      <c r="W49" s="2212"/>
      <c r="X49" s="2212"/>
      <c r="Y49" s="2212"/>
      <c r="Z49" s="2212"/>
      <c r="AA49" s="2212"/>
      <c r="AB49" s="2212"/>
      <c r="AC49" s="2212"/>
      <c r="AD49" s="2212"/>
      <c r="AE49" s="2212"/>
      <c r="AF49" s="2212"/>
      <c r="AG49" s="2212"/>
      <c r="AH49" s="2212"/>
      <c r="AI49" s="2212"/>
      <c r="AJ49" s="2212"/>
      <c r="AK49" s="2212"/>
      <c r="AL49" s="2212"/>
      <c r="AM49" s="2212"/>
      <c r="AN49" s="2212"/>
      <c r="AO49" s="2212"/>
      <c r="AP49" s="2212"/>
      <c r="AQ49" s="2212"/>
      <c r="AR49" s="2212"/>
      <c r="AS49" s="2212"/>
      <c r="AT49" s="2212"/>
      <c r="AU49" s="2212"/>
      <c r="AV49" s="2212"/>
      <c r="AW49" s="2212"/>
      <c r="AX49" s="2212"/>
      <c r="AY49" s="2212"/>
      <c r="AZ49" s="2212"/>
      <c r="BA49" s="2212"/>
      <c r="BB49" s="2212"/>
      <c r="BC49" s="2212"/>
      <c r="BD49" s="2212"/>
      <c r="BE49" s="2212"/>
      <c r="BF49" s="2212"/>
      <c r="BG49" s="2212"/>
      <c r="BH49" s="2212"/>
      <c r="BI49" s="2212"/>
      <c r="BJ49" s="2212"/>
      <c r="BK49" s="2212"/>
      <c r="BL49" s="2212"/>
      <c r="BM49" s="2213"/>
      <c r="BN49" s="2200">
        <f>'GENERAL INFO'!G123</f>
        <v>0</v>
      </c>
      <c r="BO49" s="2201"/>
      <c r="BP49" s="2201"/>
      <c r="BQ49" s="2201"/>
      <c r="BR49" s="2201"/>
      <c r="BS49" s="2201"/>
      <c r="BT49" s="2201"/>
      <c r="BU49" s="2201"/>
      <c r="BV49" s="2201"/>
      <c r="BW49" s="2201"/>
      <c r="BX49" s="2201"/>
      <c r="BY49" s="2201"/>
      <c r="BZ49" s="2201"/>
      <c r="CA49" s="2201"/>
      <c r="CB49" s="2201"/>
      <c r="CC49" s="2201"/>
      <c r="CD49" s="1139"/>
      <c r="CE49" s="1138"/>
      <c r="CF49" s="1138"/>
    </row>
    <row r="50" spans="2:84" s="1126" customFormat="1" ht="25.5" customHeight="1">
      <c r="B50" s="2192" t="s">
        <v>394</v>
      </c>
      <c r="C50" s="2193"/>
      <c r="D50" s="2194" t="s">
        <v>1250</v>
      </c>
      <c r="E50" s="1182"/>
      <c r="F50" s="1182"/>
      <c r="G50" s="1182"/>
      <c r="H50" s="1182"/>
      <c r="I50" s="1182"/>
      <c r="J50" s="1182"/>
      <c r="K50" s="1182"/>
      <c r="L50" s="1182"/>
      <c r="M50" s="1182"/>
      <c r="N50" s="1182"/>
      <c r="O50" s="1182"/>
      <c r="P50" s="1182"/>
      <c r="Q50" s="1182"/>
      <c r="R50" s="1182"/>
      <c r="S50" s="1182"/>
      <c r="T50" s="1182"/>
      <c r="U50" s="1182"/>
      <c r="V50" s="1182"/>
      <c r="W50" s="1182"/>
      <c r="X50" s="1182"/>
      <c r="Y50" s="1182"/>
      <c r="Z50" s="1182"/>
      <c r="AA50" s="1182"/>
      <c r="AB50" s="1182"/>
      <c r="AC50" s="1182"/>
      <c r="AD50" s="1182"/>
      <c r="AE50" s="1182"/>
      <c r="AF50" s="1182"/>
      <c r="AG50" s="1182"/>
      <c r="AH50" s="1182"/>
      <c r="AI50" s="1182"/>
      <c r="AJ50" s="1182"/>
      <c r="AK50" s="1182"/>
      <c r="AL50" s="1182"/>
      <c r="AM50" s="1182"/>
      <c r="AN50" s="1182"/>
      <c r="AO50" s="1182"/>
      <c r="AP50" s="1182"/>
      <c r="AQ50" s="1182"/>
      <c r="AR50" s="1182"/>
      <c r="AS50" s="1182"/>
      <c r="AT50" s="1182"/>
      <c r="AU50" s="1182"/>
      <c r="AV50" s="1182"/>
      <c r="AW50" s="1182"/>
      <c r="AX50" s="1182"/>
      <c r="AY50" s="1182"/>
      <c r="AZ50" s="1174"/>
      <c r="BA50" s="1174"/>
      <c r="BB50" s="1174"/>
      <c r="BC50" s="1174"/>
      <c r="BD50" s="1174"/>
      <c r="BE50" s="1174"/>
      <c r="BF50" s="1176"/>
      <c r="BG50" s="1174"/>
      <c r="BH50" s="1174"/>
      <c r="BI50" s="1174"/>
      <c r="BJ50" s="1174"/>
      <c r="BK50" s="1176"/>
      <c r="BL50" s="1174"/>
      <c r="BM50" s="1174"/>
      <c r="BN50" s="2200">
        <f>'GENERAL INFO'!G124</f>
        <v>0</v>
      </c>
      <c r="BO50" s="2201"/>
      <c r="BP50" s="2201"/>
      <c r="BQ50" s="2201"/>
      <c r="BR50" s="2201"/>
      <c r="BS50" s="2201"/>
      <c r="BT50" s="2201"/>
      <c r="BU50" s="2201"/>
      <c r="BV50" s="2201"/>
      <c r="BW50" s="2201"/>
      <c r="BX50" s="2201"/>
      <c r="BY50" s="2201"/>
      <c r="BZ50" s="2201"/>
      <c r="CA50" s="2201"/>
      <c r="CB50" s="2201"/>
      <c r="CC50" s="2201"/>
      <c r="CD50" s="1139"/>
      <c r="CE50" s="1138"/>
      <c r="CF50" s="1138"/>
    </row>
    <row r="51" spans="2:84" s="1126" customFormat="1" ht="20.15" customHeight="1">
      <c r="B51" s="2208" t="s">
        <v>395</v>
      </c>
      <c r="C51" s="2209"/>
      <c r="D51" s="2194" t="s">
        <v>1314</v>
      </c>
      <c r="E51" s="1182"/>
      <c r="F51" s="1182"/>
      <c r="G51" s="1182"/>
      <c r="H51" s="1182"/>
      <c r="I51" s="1182"/>
      <c r="J51" s="1182"/>
      <c r="K51" s="1182"/>
      <c r="L51" s="1182"/>
      <c r="M51" s="1182"/>
      <c r="N51" s="1182"/>
      <c r="O51" s="1182"/>
      <c r="P51" s="1182"/>
      <c r="Q51" s="1182"/>
      <c r="R51" s="1182"/>
      <c r="S51" s="1182"/>
      <c r="T51" s="1182"/>
      <c r="U51" s="1182"/>
      <c r="V51" s="1182"/>
      <c r="W51" s="1182"/>
      <c r="X51" s="1182"/>
      <c r="Y51" s="1182"/>
      <c r="Z51" s="1182"/>
      <c r="AA51" s="1182"/>
      <c r="AB51" s="1182"/>
      <c r="AC51" s="1182"/>
      <c r="AD51" s="1182"/>
      <c r="AE51" s="1182"/>
      <c r="AF51" s="1182"/>
      <c r="AG51" s="1182"/>
      <c r="AH51" s="1182"/>
      <c r="AI51" s="1182"/>
      <c r="AJ51" s="1182"/>
      <c r="AK51" s="1182"/>
      <c r="AL51" s="1182"/>
      <c r="AM51" s="1182"/>
      <c r="AN51" s="1182"/>
      <c r="AO51" s="1182"/>
      <c r="AP51" s="1182"/>
      <c r="AQ51" s="1182"/>
      <c r="AR51" s="1182"/>
      <c r="AS51" s="1177"/>
      <c r="AT51" s="1177"/>
      <c r="AU51" s="1177"/>
      <c r="AV51" s="1177"/>
      <c r="AW51" s="1174"/>
      <c r="AX51" s="1174"/>
      <c r="AY51" s="1178"/>
      <c r="AZ51" s="1178"/>
      <c r="BA51" s="1178"/>
      <c r="BB51" s="1178"/>
      <c r="BC51" s="1178"/>
      <c r="BD51" s="1178"/>
      <c r="BE51" s="1178"/>
      <c r="BF51" s="1178"/>
      <c r="BG51" s="1178"/>
      <c r="BH51" s="1178"/>
      <c r="BI51" s="1178"/>
      <c r="BJ51" s="1178"/>
      <c r="BK51" s="1174"/>
      <c r="BL51" s="1174"/>
      <c r="BM51" s="1174"/>
      <c r="BN51" s="2200">
        <f>'GENERAL INFO'!G125</f>
        <v>0</v>
      </c>
      <c r="BO51" s="2201"/>
      <c r="BP51" s="2201"/>
      <c r="BQ51" s="2201"/>
      <c r="BR51" s="2201"/>
      <c r="BS51" s="2201"/>
      <c r="BT51" s="2201"/>
      <c r="BU51" s="2201"/>
      <c r="BV51" s="2201"/>
      <c r="BW51" s="2201"/>
      <c r="BX51" s="2201"/>
      <c r="BY51" s="2201"/>
      <c r="BZ51" s="2201"/>
      <c r="CA51" s="2201"/>
      <c r="CB51" s="2201"/>
      <c r="CC51" s="2201"/>
      <c r="CD51" s="1139"/>
      <c r="CE51" s="1138"/>
      <c r="CF51" s="1138"/>
    </row>
    <row r="52" spans="2:84" s="1126" customFormat="1" ht="20.15" customHeight="1">
      <c r="B52" s="2203" t="s">
        <v>1251</v>
      </c>
      <c r="C52" s="2204"/>
      <c r="D52" s="2204"/>
      <c r="E52" s="2204"/>
      <c r="F52" s="2204"/>
      <c r="G52" s="2204"/>
      <c r="H52" s="2204"/>
      <c r="I52" s="2204"/>
      <c r="J52" s="2204"/>
      <c r="K52" s="2204"/>
      <c r="L52" s="2204"/>
      <c r="M52" s="2204"/>
      <c r="N52" s="2204"/>
      <c r="O52" s="2204"/>
      <c r="P52" s="1179"/>
      <c r="Q52" s="1179"/>
      <c r="R52" s="1179"/>
      <c r="S52" s="1179"/>
      <c r="T52" s="1179"/>
      <c r="U52" s="1179"/>
      <c r="V52" s="1179"/>
      <c r="W52" s="1179"/>
      <c r="X52" s="1179"/>
      <c r="Y52" s="1179"/>
      <c r="Z52" s="1179"/>
      <c r="AA52" s="1179"/>
      <c r="AB52" s="1179"/>
      <c r="AC52" s="1179"/>
      <c r="AD52" s="1179"/>
      <c r="AE52" s="1179"/>
      <c r="AF52" s="1179"/>
      <c r="AG52" s="1179"/>
      <c r="AH52" s="1179"/>
      <c r="AI52" s="1179"/>
      <c r="AJ52" s="1179"/>
      <c r="AK52" s="1179"/>
      <c r="AL52" s="1179"/>
      <c r="AM52" s="1179"/>
      <c r="AN52" s="1174"/>
      <c r="AO52" s="1174"/>
      <c r="AP52" s="1174"/>
      <c r="AQ52" s="1174"/>
      <c r="AR52" s="1174"/>
      <c r="AS52" s="1174"/>
      <c r="AT52" s="1174"/>
      <c r="AU52" s="1174"/>
      <c r="AV52" s="1174"/>
      <c r="AW52" s="1174"/>
      <c r="AX52" s="1174"/>
      <c r="AY52" s="1178"/>
      <c r="AZ52" s="1178"/>
      <c r="BA52" s="1178"/>
      <c r="BB52" s="1178"/>
      <c r="BC52" s="1178"/>
      <c r="BD52" s="1178"/>
      <c r="BE52" s="1178"/>
      <c r="BF52" s="1178"/>
      <c r="BG52" s="1178"/>
      <c r="BH52" s="1178"/>
      <c r="BI52" s="1178"/>
      <c r="BJ52" s="1178"/>
      <c r="BK52" s="1174"/>
      <c r="BL52" s="1174"/>
      <c r="BM52" s="1174"/>
      <c r="BN52" s="2205"/>
      <c r="BO52" s="2206"/>
      <c r="BP52" s="2206"/>
      <c r="BQ52" s="2206"/>
      <c r="BR52" s="2206"/>
      <c r="BS52" s="2206"/>
      <c r="BT52" s="2206"/>
      <c r="BU52" s="2206"/>
      <c r="BV52" s="2206"/>
      <c r="BW52" s="2206"/>
      <c r="BX52" s="2206"/>
      <c r="BY52" s="2206"/>
      <c r="BZ52" s="2206"/>
      <c r="CA52" s="2206"/>
      <c r="CB52" s="2206"/>
      <c r="CC52" s="2206"/>
      <c r="CD52" s="2207"/>
      <c r="CE52" s="1138"/>
      <c r="CF52" s="1138"/>
    </row>
    <row r="53" spans="2:84" s="1126" customFormat="1" ht="20.15" customHeight="1">
      <c r="B53" s="2192" t="s">
        <v>396</v>
      </c>
      <c r="C53" s="2193"/>
      <c r="D53" s="2194" t="s">
        <v>1252</v>
      </c>
      <c r="E53" s="1182"/>
      <c r="F53" s="1182"/>
      <c r="G53" s="1182"/>
      <c r="H53" s="1182"/>
      <c r="I53" s="1182"/>
      <c r="J53" s="1182"/>
      <c r="K53" s="1182"/>
      <c r="L53" s="1182"/>
      <c r="M53" s="1182"/>
      <c r="N53" s="1182"/>
      <c r="O53" s="1182"/>
      <c r="P53" s="1182"/>
      <c r="Q53" s="1182"/>
      <c r="R53" s="1182"/>
      <c r="S53" s="1182"/>
      <c r="T53" s="1182"/>
      <c r="U53" s="1182"/>
      <c r="V53" s="1182"/>
      <c r="W53" s="1182"/>
      <c r="X53" s="1182"/>
      <c r="Y53" s="1182"/>
      <c r="Z53" s="1182"/>
      <c r="AA53" s="1182"/>
      <c r="AB53" s="1182"/>
      <c r="AC53" s="1182"/>
      <c r="AD53" s="1182"/>
      <c r="AE53" s="1182"/>
      <c r="AF53" s="1182"/>
      <c r="AG53" s="1182"/>
      <c r="AH53" s="1182"/>
      <c r="AI53" s="1182"/>
      <c r="AJ53" s="1182"/>
      <c r="AK53" s="1182"/>
      <c r="AL53" s="1182"/>
      <c r="AM53" s="1182"/>
      <c r="AN53" s="1182"/>
      <c r="AO53" s="1182"/>
      <c r="AP53" s="1182"/>
      <c r="AQ53" s="1182"/>
      <c r="AR53" s="1182"/>
      <c r="AS53" s="1182"/>
      <c r="AT53" s="1174"/>
      <c r="AU53" s="1174"/>
      <c r="AV53" s="1174"/>
      <c r="AW53" s="1174"/>
      <c r="AX53" s="1174"/>
      <c r="AY53" s="1174"/>
      <c r="AZ53" s="1174"/>
      <c r="BA53" s="1174"/>
      <c r="BB53" s="1174"/>
      <c r="BC53" s="1174"/>
      <c r="BD53" s="1174"/>
      <c r="BE53" s="1174"/>
      <c r="BF53" s="1174"/>
      <c r="BG53" s="1174"/>
      <c r="BH53" s="1174"/>
      <c r="BI53" s="1174"/>
      <c r="BJ53" s="1174"/>
      <c r="BK53" s="1174"/>
      <c r="BL53" s="1174"/>
      <c r="BM53" s="1174"/>
      <c r="BN53" s="2200">
        <f>'GENERAL INFO'!G128</f>
        <v>0</v>
      </c>
      <c r="BO53" s="2201"/>
      <c r="BP53" s="2201"/>
      <c r="BQ53" s="2201"/>
      <c r="BR53" s="2201"/>
      <c r="BS53" s="2201"/>
      <c r="BT53" s="2201"/>
      <c r="BU53" s="2201"/>
      <c r="BV53" s="2201"/>
      <c r="BW53" s="2201"/>
      <c r="BX53" s="2201"/>
      <c r="BY53" s="2201"/>
      <c r="BZ53" s="2201"/>
      <c r="CA53" s="2201"/>
      <c r="CB53" s="2201"/>
      <c r="CC53" s="2201"/>
      <c r="CD53" s="1140"/>
      <c r="CE53" s="1138"/>
      <c r="CF53" s="1138"/>
    </row>
    <row r="54" spans="2:84" s="1126" customFormat="1" ht="20.15" customHeight="1">
      <c r="B54" s="2192" t="s">
        <v>397</v>
      </c>
      <c r="C54" s="2193"/>
      <c r="D54" s="2194" t="s">
        <v>1253</v>
      </c>
      <c r="E54" s="1182"/>
      <c r="F54" s="1182"/>
      <c r="G54" s="1182"/>
      <c r="H54" s="1182"/>
      <c r="I54" s="1182"/>
      <c r="J54" s="1182"/>
      <c r="K54" s="1182"/>
      <c r="L54" s="1182"/>
      <c r="M54" s="1182"/>
      <c r="N54" s="1182"/>
      <c r="O54" s="1182"/>
      <c r="P54" s="1182"/>
      <c r="Q54" s="1182"/>
      <c r="R54" s="1182"/>
      <c r="S54" s="1182"/>
      <c r="T54" s="1182"/>
      <c r="U54" s="1182"/>
      <c r="V54" s="1182"/>
      <c r="W54" s="1182"/>
      <c r="X54" s="1182"/>
      <c r="Y54" s="1182"/>
      <c r="Z54" s="1182"/>
      <c r="AA54" s="1182"/>
      <c r="AB54" s="1182"/>
      <c r="AC54" s="1182"/>
      <c r="AD54" s="1182"/>
      <c r="AE54" s="1182"/>
      <c r="AF54" s="1182"/>
      <c r="AG54" s="1182"/>
      <c r="AH54" s="1182"/>
      <c r="AI54" s="1182"/>
      <c r="AJ54" s="1182"/>
      <c r="AK54" s="1182"/>
      <c r="AL54" s="1182"/>
      <c r="AM54" s="1182"/>
      <c r="AN54" s="1182"/>
      <c r="AO54" s="1182"/>
      <c r="AP54" s="1182"/>
      <c r="AQ54" s="1173"/>
      <c r="AR54" s="1173"/>
      <c r="AS54" s="1173"/>
      <c r="AT54" s="1173"/>
      <c r="AU54" s="1173"/>
      <c r="AV54" s="1173"/>
      <c r="AW54" s="1173"/>
      <c r="AX54" s="1173"/>
      <c r="AY54" s="1173"/>
      <c r="AZ54" s="1173"/>
      <c r="BA54" s="1173"/>
      <c r="BB54" s="1173"/>
      <c r="BC54" s="1173"/>
      <c r="BD54" s="1173"/>
      <c r="BE54" s="1173"/>
      <c r="BF54" s="1180"/>
      <c r="BG54" s="1180"/>
      <c r="BH54" s="1180"/>
      <c r="BI54" s="1180"/>
      <c r="BJ54" s="1180"/>
      <c r="BK54" s="1180"/>
      <c r="BL54" s="1180"/>
      <c r="BM54" s="1180"/>
      <c r="BN54" s="2200">
        <f>'GENERAL INFO'!G130</f>
        <v>0</v>
      </c>
      <c r="BO54" s="2201"/>
      <c r="BP54" s="2201"/>
      <c r="BQ54" s="2201"/>
      <c r="BR54" s="2201"/>
      <c r="BS54" s="2201"/>
      <c r="BT54" s="2201"/>
      <c r="BU54" s="2201"/>
      <c r="BV54" s="2201"/>
      <c r="BW54" s="2201"/>
      <c r="BX54" s="2201"/>
      <c r="BY54" s="2201"/>
      <c r="BZ54" s="2201"/>
      <c r="CA54" s="2201"/>
      <c r="CB54" s="2201"/>
      <c r="CC54" s="2201"/>
      <c r="CD54" s="1140"/>
      <c r="CE54" s="1138"/>
      <c r="CF54" s="1138"/>
    </row>
    <row r="55" spans="2:84" s="1126" customFormat="1" ht="20.15" customHeight="1">
      <c r="B55" s="2192" t="s">
        <v>398</v>
      </c>
      <c r="C55" s="2193"/>
      <c r="D55" s="2194" t="s">
        <v>1315</v>
      </c>
      <c r="E55" s="1182"/>
      <c r="F55" s="1182"/>
      <c r="G55" s="1182"/>
      <c r="H55" s="1182"/>
      <c r="I55" s="1182"/>
      <c r="J55" s="1182"/>
      <c r="K55" s="1182"/>
      <c r="L55" s="1182"/>
      <c r="M55" s="1182"/>
      <c r="N55" s="1182"/>
      <c r="O55" s="1182"/>
      <c r="P55" s="1182"/>
      <c r="Q55" s="1182"/>
      <c r="R55" s="1182"/>
      <c r="S55" s="1182"/>
      <c r="T55" s="1182"/>
      <c r="U55" s="1182"/>
      <c r="V55" s="1182"/>
      <c r="W55" s="1182"/>
      <c r="X55" s="1182"/>
      <c r="Y55" s="1182"/>
      <c r="Z55" s="1182"/>
      <c r="AA55" s="1182"/>
      <c r="AB55" s="1182"/>
      <c r="AC55" s="1182"/>
      <c r="AD55" s="1182"/>
      <c r="AE55" s="1182"/>
      <c r="AF55" s="1182"/>
      <c r="AG55" s="1182"/>
      <c r="AH55" s="1182"/>
      <c r="AI55" s="1182"/>
      <c r="AJ55" s="1182"/>
      <c r="AK55" s="1182"/>
      <c r="AL55" s="1182"/>
      <c r="AM55" s="1182"/>
      <c r="AN55" s="1182"/>
      <c r="AO55" s="1182"/>
      <c r="AP55" s="1182"/>
      <c r="AQ55" s="1182"/>
      <c r="AR55" s="1182"/>
      <c r="AS55" s="1182"/>
      <c r="AT55" s="1182"/>
      <c r="AU55" s="1182"/>
      <c r="AV55" s="1182"/>
      <c r="AW55" s="1182"/>
      <c r="AX55" s="1182"/>
      <c r="AY55" s="1182"/>
      <c r="AZ55" s="1182"/>
      <c r="BA55" s="1182"/>
      <c r="BB55" s="1182"/>
      <c r="BC55" s="1182"/>
      <c r="BD55" s="1182"/>
      <c r="BE55" s="1182"/>
      <c r="BF55" s="1181"/>
      <c r="BG55" s="1181"/>
      <c r="BH55" s="1181"/>
      <c r="BI55" s="1181"/>
      <c r="BJ55" s="1181"/>
      <c r="BK55" s="1181"/>
      <c r="BL55" s="1181"/>
      <c r="BM55" s="1181"/>
      <c r="BN55" s="2200">
        <f>'GENERAL INFO'!G131</f>
        <v>0</v>
      </c>
      <c r="BO55" s="2201"/>
      <c r="BP55" s="2201"/>
      <c r="BQ55" s="2201"/>
      <c r="BR55" s="2201"/>
      <c r="BS55" s="2201"/>
      <c r="BT55" s="2201"/>
      <c r="BU55" s="2201"/>
      <c r="BV55" s="2201"/>
      <c r="BW55" s="2201"/>
      <c r="BX55" s="2201"/>
      <c r="BY55" s="2201"/>
      <c r="BZ55" s="2201"/>
      <c r="CA55" s="2201"/>
      <c r="CB55" s="2201"/>
      <c r="CC55" s="2201"/>
      <c r="CD55" s="1140"/>
      <c r="CE55" s="1138"/>
      <c r="CF55" s="1138"/>
    </row>
    <row r="56" spans="2:84" s="1126" customFormat="1" ht="20.15" customHeight="1">
      <c r="B56" s="2203" t="s">
        <v>1254</v>
      </c>
      <c r="C56" s="2204"/>
      <c r="D56" s="2204"/>
      <c r="E56" s="2204"/>
      <c r="F56" s="2204"/>
      <c r="G56" s="2204"/>
      <c r="H56" s="2204"/>
      <c r="I56" s="2204"/>
      <c r="J56" s="2204"/>
      <c r="K56" s="2204"/>
      <c r="L56" s="2204"/>
      <c r="M56" s="2204"/>
      <c r="N56" s="2204"/>
      <c r="O56" s="2204"/>
      <c r="P56" s="2204"/>
      <c r="Q56" s="2204"/>
      <c r="R56" s="2204"/>
      <c r="S56" s="2204"/>
      <c r="T56" s="2204"/>
      <c r="U56" s="2204"/>
      <c r="V56" s="2204"/>
      <c r="W56" s="2204"/>
      <c r="X56" s="1177"/>
      <c r="Y56" s="1177"/>
      <c r="Z56" s="1177"/>
      <c r="AA56" s="1177"/>
      <c r="AB56" s="1177"/>
      <c r="AC56" s="1177"/>
      <c r="AD56" s="1177"/>
      <c r="AE56" s="1177"/>
      <c r="AF56" s="1177"/>
      <c r="AG56" s="1177"/>
      <c r="AH56" s="1177"/>
      <c r="AI56" s="1177"/>
      <c r="AJ56" s="1177"/>
      <c r="AK56" s="1177"/>
      <c r="AL56" s="1177"/>
      <c r="AM56" s="1177"/>
      <c r="AN56" s="1177"/>
      <c r="AO56" s="1177"/>
      <c r="AP56" s="1177"/>
      <c r="AQ56" s="1177"/>
      <c r="AR56" s="1177"/>
      <c r="AS56" s="1177"/>
      <c r="AT56" s="1177"/>
      <c r="AU56" s="1177"/>
      <c r="AV56" s="1177"/>
      <c r="AW56" s="1177"/>
      <c r="AX56" s="1177"/>
      <c r="AY56" s="1177"/>
      <c r="AZ56" s="1177"/>
      <c r="BA56" s="1177"/>
      <c r="BB56" s="1177"/>
      <c r="BC56" s="1177"/>
      <c r="BD56" s="1177"/>
      <c r="BE56" s="1177"/>
      <c r="BF56" s="1177"/>
      <c r="BG56" s="1177"/>
      <c r="BH56" s="1177"/>
      <c r="BI56" s="1177"/>
      <c r="BJ56" s="1177"/>
      <c r="BK56" s="1177"/>
      <c r="BL56" s="1177"/>
      <c r="BM56" s="1177"/>
      <c r="BN56" s="2205"/>
      <c r="BO56" s="2206"/>
      <c r="BP56" s="2206"/>
      <c r="BQ56" s="2206"/>
      <c r="BR56" s="2206"/>
      <c r="BS56" s="2206"/>
      <c r="BT56" s="2206"/>
      <c r="BU56" s="2206"/>
      <c r="BV56" s="2206"/>
      <c r="BW56" s="2206"/>
      <c r="BX56" s="2206"/>
      <c r="BY56" s="2206"/>
      <c r="BZ56" s="2206"/>
      <c r="CA56" s="2206"/>
      <c r="CB56" s="2206"/>
      <c r="CC56" s="2206"/>
      <c r="CD56" s="2207"/>
      <c r="CE56" s="1138"/>
      <c r="CF56" s="1138"/>
    </row>
    <row r="57" spans="2:84" s="1126" customFormat="1" ht="20.15" customHeight="1">
      <c r="B57" s="2192" t="s">
        <v>399</v>
      </c>
      <c r="C57" s="2193"/>
      <c r="D57" s="2194" t="s">
        <v>1255</v>
      </c>
      <c r="E57" s="1182"/>
      <c r="F57" s="1182"/>
      <c r="G57" s="1182"/>
      <c r="H57" s="1182"/>
      <c r="I57" s="1182"/>
      <c r="J57" s="1182"/>
      <c r="K57" s="1182"/>
      <c r="L57" s="1182"/>
      <c r="M57" s="1182"/>
      <c r="N57" s="1182"/>
      <c r="O57" s="1182"/>
      <c r="P57" s="1182"/>
      <c r="Q57" s="1182"/>
      <c r="R57" s="1182"/>
      <c r="S57" s="1182"/>
      <c r="T57" s="1182"/>
      <c r="U57" s="1182"/>
      <c r="V57" s="1182"/>
      <c r="W57" s="1182"/>
      <c r="X57" s="1182"/>
      <c r="Y57" s="1182"/>
      <c r="Z57" s="1182"/>
      <c r="AA57" s="1182"/>
      <c r="AB57" s="1182"/>
      <c r="AC57" s="1182"/>
      <c r="AD57" s="1182"/>
      <c r="AE57" s="1182"/>
      <c r="AF57" s="1182"/>
      <c r="AG57" s="1182"/>
      <c r="AH57" s="1182"/>
      <c r="AI57" s="1182"/>
      <c r="AJ57" s="1182"/>
      <c r="AK57" s="1182"/>
      <c r="AL57" s="1182"/>
      <c r="AM57" s="1182"/>
      <c r="AN57" s="1182"/>
      <c r="AO57" s="1182"/>
      <c r="AP57" s="1182"/>
      <c r="AQ57" s="1182"/>
      <c r="AR57" s="1182"/>
      <c r="AS57" s="1182"/>
      <c r="AT57" s="1182"/>
      <c r="AU57" s="1182"/>
      <c r="AV57" s="1182"/>
      <c r="AW57" s="1182"/>
      <c r="AX57" s="1182"/>
      <c r="AY57" s="1182"/>
      <c r="AZ57" s="1182"/>
      <c r="BA57" s="1182"/>
      <c r="BB57" s="1182"/>
      <c r="BC57" s="1182"/>
      <c r="BD57" s="1182"/>
      <c r="BE57" s="1182"/>
      <c r="BF57" s="1173"/>
      <c r="BG57" s="1173"/>
      <c r="BH57" s="1173"/>
      <c r="BI57" s="1173"/>
      <c r="BJ57" s="1173"/>
      <c r="BK57" s="1173"/>
      <c r="BL57" s="1173"/>
      <c r="BM57" s="1173"/>
      <c r="BN57" s="2200">
        <f>'GENERAL INFO'!G133</f>
        <v>0</v>
      </c>
      <c r="BO57" s="2201"/>
      <c r="BP57" s="2201"/>
      <c r="BQ57" s="2201"/>
      <c r="BR57" s="2201"/>
      <c r="BS57" s="2201"/>
      <c r="BT57" s="2201"/>
      <c r="BU57" s="2201"/>
      <c r="BV57" s="2201"/>
      <c r="BW57" s="2201"/>
      <c r="BX57" s="2201"/>
      <c r="BY57" s="2201"/>
      <c r="BZ57" s="2201"/>
      <c r="CA57" s="2201"/>
      <c r="CB57" s="2201"/>
      <c r="CC57" s="2201"/>
      <c r="CD57" s="1139"/>
      <c r="CE57" s="1138"/>
      <c r="CF57" s="1138"/>
    </row>
    <row r="58" spans="2:84" s="1126" customFormat="1" ht="20.15" customHeight="1">
      <c r="B58" s="2192" t="s">
        <v>400</v>
      </c>
      <c r="C58" s="2193"/>
      <c r="D58" s="2194" t="s">
        <v>1256</v>
      </c>
      <c r="E58" s="1182"/>
      <c r="F58" s="1182"/>
      <c r="G58" s="1182"/>
      <c r="H58" s="1182"/>
      <c r="I58" s="1182"/>
      <c r="J58" s="1182"/>
      <c r="K58" s="1182"/>
      <c r="L58" s="1182"/>
      <c r="M58" s="1182"/>
      <c r="N58" s="1182"/>
      <c r="O58" s="1182"/>
      <c r="P58" s="1182"/>
      <c r="Q58" s="1182"/>
      <c r="R58" s="1182"/>
      <c r="S58" s="1182"/>
      <c r="T58" s="1182"/>
      <c r="U58" s="1182"/>
      <c r="V58" s="1182"/>
      <c r="W58" s="1182"/>
      <c r="X58" s="1182"/>
      <c r="Y58" s="1182"/>
      <c r="Z58" s="1182"/>
      <c r="AA58" s="1182"/>
      <c r="AB58" s="1182"/>
      <c r="AC58" s="1182"/>
      <c r="AD58" s="1182"/>
      <c r="AE58" s="1182"/>
      <c r="AF58" s="1182"/>
      <c r="AG58" s="1182"/>
      <c r="AH58" s="1182"/>
      <c r="AI58" s="1182"/>
      <c r="AJ58" s="1182"/>
      <c r="AK58" s="1182"/>
      <c r="AL58" s="1182"/>
      <c r="AM58" s="1182"/>
      <c r="AN58" s="1182"/>
      <c r="AO58" s="1182"/>
      <c r="AP58" s="1182"/>
      <c r="AQ58" s="1182"/>
      <c r="AR58" s="1182"/>
      <c r="AS58" s="1182"/>
      <c r="AT58" s="1182"/>
      <c r="AU58" s="1182"/>
      <c r="AV58" s="1182"/>
      <c r="AW58" s="1182"/>
      <c r="AX58" s="1182"/>
      <c r="AY58" s="1182"/>
      <c r="AZ58" s="1182"/>
      <c r="BA58" s="1182"/>
      <c r="BB58" s="1182"/>
      <c r="BC58" s="1182"/>
      <c r="BD58" s="1182"/>
      <c r="BE58" s="1182"/>
      <c r="BF58" s="1182"/>
      <c r="BG58" s="1173"/>
      <c r="BH58" s="1173"/>
      <c r="BI58" s="1173"/>
      <c r="BJ58" s="1173"/>
      <c r="BK58" s="1173"/>
      <c r="BL58" s="1173"/>
      <c r="BM58" s="1173"/>
      <c r="BN58" s="2200">
        <f>'GENERAL INFO'!G136</f>
        <v>0</v>
      </c>
      <c r="BO58" s="2201"/>
      <c r="BP58" s="2201"/>
      <c r="BQ58" s="2201"/>
      <c r="BR58" s="2201"/>
      <c r="BS58" s="2201"/>
      <c r="BT58" s="2201"/>
      <c r="BU58" s="2201"/>
      <c r="BV58" s="2201"/>
      <c r="BW58" s="2201"/>
      <c r="BX58" s="2201"/>
      <c r="BY58" s="2201"/>
      <c r="BZ58" s="2201"/>
      <c r="CA58" s="2201"/>
      <c r="CB58" s="2201"/>
      <c r="CC58" s="2201"/>
      <c r="CD58" s="1139"/>
      <c r="CE58" s="1138"/>
      <c r="CF58" s="1138"/>
    </row>
    <row r="59" spans="2:84" s="1126" customFormat="1" ht="20.15" customHeight="1">
      <c r="B59" s="2192" t="s">
        <v>401</v>
      </c>
      <c r="C59" s="2193"/>
      <c r="D59" s="2194" t="s">
        <v>1316</v>
      </c>
      <c r="E59" s="1182"/>
      <c r="F59" s="1182"/>
      <c r="G59" s="1182"/>
      <c r="H59" s="1182"/>
      <c r="I59" s="1182"/>
      <c r="J59" s="1182"/>
      <c r="K59" s="1182"/>
      <c r="L59" s="1182"/>
      <c r="M59" s="1182"/>
      <c r="N59" s="1182"/>
      <c r="O59" s="1182"/>
      <c r="P59" s="1182"/>
      <c r="Q59" s="1182"/>
      <c r="R59" s="1182"/>
      <c r="S59" s="1182"/>
      <c r="T59" s="1182"/>
      <c r="U59" s="1182"/>
      <c r="V59" s="1182"/>
      <c r="W59" s="1182"/>
      <c r="X59" s="1182"/>
      <c r="Y59" s="1182"/>
      <c r="Z59" s="1182"/>
      <c r="AA59" s="1182"/>
      <c r="AB59" s="1182"/>
      <c r="AC59" s="1182"/>
      <c r="AD59" s="1182"/>
      <c r="AE59" s="1182"/>
      <c r="AF59" s="1182"/>
      <c r="AG59" s="1182"/>
      <c r="AH59" s="1182"/>
      <c r="AI59" s="1182"/>
      <c r="AJ59" s="1182"/>
      <c r="AK59" s="1182"/>
      <c r="AL59" s="1182"/>
      <c r="AM59" s="1182"/>
      <c r="AN59" s="1182"/>
      <c r="AO59" s="1182"/>
      <c r="AP59" s="1182"/>
      <c r="AQ59" s="1182"/>
      <c r="AR59" s="1182"/>
      <c r="AS59" s="1182"/>
      <c r="AT59" s="1182"/>
      <c r="AU59" s="1182"/>
      <c r="AV59" s="1182"/>
      <c r="AW59" s="1182"/>
      <c r="AX59" s="1182"/>
      <c r="AY59" s="1182"/>
      <c r="AZ59" s="1182"/>
      <c r="BA59" s="1182"/>
      <c r="BB59" s="1182"/>
      <c r="BC59" s="1182"/>
      <c r="BD59" s="1182"/>
      <c r="BE59" s="1182"/>
      <c r="BF59" s="1182"/>
      <c r="BG59" s="1182"/>
      <c r="BH59" s="1182"/>
      <c r="BI59" s="1182"/>
      <c r="BJ59" s="1182"/>
      <c r="BK59" s="1182"/>
      <c r="BL59" s="1182"/>
      <c r="BM59" s="2202"/>
      <c r="BN59" s="2200">
        <f>'GENERAL INFO'!G141</f>
        <v>0</v>
      </c>
      <c r="BO59" s="2201"/>
      <c r="BP59" s="2201"/>
      <c r="BQ59" s="2201"/>
      <c r="BR59" s="2201"/>
      <c r="BS59" s="2201"/>
      <c r="BT59" s="2201"/>
      <c r="BU59" s="2201"/>
      <c r="BV59" s="2201"/>
      <c r="BW59" s="2201"/>
      <c r="BX59" s="2201"/>
      <c r="BY59" s="2201"/>
      <c r="BZ59" s="2201"/>
      <c r="CA59" s="2201"/>
      <c r="CB59" s="2201"/>
      <c r="CC59" s="2201"/>
      <c r="CD59" s="1139"/>
      <c r="CE59" s="1138"/>
      <c r="CF59" s="1138"/>
    </row>
    <row r="60" spans="2:84" s="1126" customFormat="1" ht="20.15" customHeight="1">
      <c r="B60" s="2192" t="s">
        <v>402</v>
      </c>
      <c r="C60" s="2193"/>
      <c r="D60" s="2197" t="s">
        <v>777</v>
      </c>
      <c r="E60" s="2198"/>
      <c r="F60" s="2198"/>
      <c r="G60" s="2198"/>
      <c r="H60" s="2198"/>
      <c r="I60" s="2198"/>
      <c r="J60" s="2198"/>
      <c r="K60" s="2198"/>
      <c r="L60" s="2198"/>
      <c r="M60" s="2198"/>
      <c r="N60" s="2198"/>
      <c r="O60" s="2198"/>
      <c r="P60" s="2198"/>
      <c r="Q60" s="2198"/>
      <c r="R60" s="2198"/>
      <c r="S60" s="2198"/>
      <c r="T60" s="2198"/>
      <c r="U60" s="2198"/>
      <c r="V60" s="2198"/>
      <c r="W60" s="2198"/>
      <c r="X60" s="2198"/>
      <c r="Y60" s="2198"/>
      <c r="Z60" s="2198"/>
      <c r="AA60" s="2198"/>
      <c r="AB60" s="2198"/>
      <c r="AC60" s="2198"/>
      <c r="AD60" s="2198"/>
      <c r="AE60" s="2198"/>
      <c r="AF60" s="2198"/>
      <c r="AG60" s="2198"/>
      <c r="AH60" s="2198"/>
      <c r="AI60" s="2198"/>
      <c r="AJ60" s="2198"/>
      <c r="AK60" s="2198"/>
      <c r="AL60" s="2198"/>
      <c r="AM60" s="2198"/>
      <c r="AN60" s="2198"/>
      <c r="AO60" s="2198"/>
      <c r="AP60" s="2198"/>
      <c r="AQ60" s="2198"/>
      <c r="AR60" s="2198"/>
      <c r="AS60" s="2198"/>
      <c r="AT60" s="2198"/>
      <c r="AU60" s="2198"/>
      <c r="AV60" s="2198"/>
      <c r="AW60" s="2198"/>
      <c r="AX60" s="2198"/>
      <c r="AY60" s="2198"/>
      <c r="AZ60" s="2198"/>
      <c r="BA60" s="2198"/>
      <c r="BB60" s="2198"/>
      <c r="BC60" s="2198"/>
      <c r="BD60" s="2198"/>
      <c r="BE60" s="2198"/>
      <c r="BF60" s="2198"/>
      <c r="BG60" s="2198"/>
      <c r="BH60" s="2198"/>
      <c r="BI60" s="2198"/>
      <c r="BJ60" s="2198"/>
      <c r="BK60" s="2198"/>
      <c r="BL60" s="2198"/>
      <c r="BM60" s="2199"/>
      <c r="BN60" s="2195">
        <f>personalreliefs</f>
        <v>0</v>
      </c>
      <c r="BO60" s="2196"/>
      <c r="BP60" s="2196"/>
      <c r="BQ60" s="2196"/>
      <c r="BR60" s="2196"/>
      <c r="BS60" s="2196"/>
      <c r="BT60" s="2196"/>
      <c r="BU60" s="2196"/>
      <c r="BV60" s="2196"/>
      <c r="BW60" s="2196"/>
      <c r="BX60" s="2196"/>
      <c r="BY60" s="2196"/>
      <c r="BZ60" s="2196"/>
      <c r="CA60" s="2196"/>
      <c r="CB60" s="2196"/>
      <c r="CC60" s="2196"/>
      <c r="CD60" s="1141"/>
      <c r="CE60" s="1138"/>
      <c r="CF60" s="1138"/>
    </row>
    <row r="61" spans="2:84" s="1126" customFormat="1" ht="20.15" customHeight="1">
      <c r="B61" s="2192" t="s">
        <v>403</v>
      </c>
      <c r="C61" s="2193"/>
      <c r="D61" s="2194" t="s">
        <v>1317</v>
      </c>
      <c r="E61" s="1182"/>
      <c r="F61" s="1182"/>
      <c r="G61" s="1182"/>
      <c r="H61" s="1182"/>
      <c r="I61" s="1182"/>
      <c r="J61" s="1182"/>
      <c r="K61" s="1182"/>
      <c r="L61" s="1182"/>
      <c r="M61" s="1182"/>
      <c r="N61" s="1182"/>
      <c r="O61" s="1182"/>
      <c r="P61" s="1182"/>
      <c r="Q61" s="1182"/>
      <c r="R61" s="1182"/>
      <c r="S61" s="1182"/>
      <c r="T61" s="1182"/>
      <c r="U61" s="1182"/>
      <c r="V61" s="1182"/>
      <c r="W61" s="1182"/>
      <c r="X61" s="1182"/>
      <c r="Y61" s="1182"/>
      <c r="Z61" s="1182"/>
      <c r="AA61" s="1182"/>
      <c r="AB61" s="1182"/>
      <c r="AC61" s="1182"/>
      <c r="AD61" s="1182"/>
      <c r="AE61" s="1182"/>
      <c r="AF61" s="1182"/>
      <c r="AG61" s="1182"/>
      <c r="AH61" s="1182"/>
      <c r="AI61" s="1182"/>
      <c r="AJ61" s="1182"/>
      <c r="AK61" s="1182"/>
      <c r="AL61" s="1182"/>
      <c r="AM61" s="1182"/>
      <c r="AN61" s="1182"/>
      <c r="AO61" s="1182"/>
      <c r="AP61" s="1182"/>
      <c r="AQ61" s="1182"/>
      <c r="AR61" s="1182"/>
      <c r="AS61" s="1182"/>
      <c r="AT61" s="1182"/>
      <c r="AU61" s="1182"/>
      <c r="AV61" s="1182"/>
      <c r="AW61" s="1182"/>
      <c r="AX61" s="1182"/>
      <c r="AY61" s="1182"/>
      <c r="AZ61" s="1182"/>
      <c r="BA61" s="1182"/>
      <c r="BB61" s="1182"/>
      <c r="BC61" s="1182"/>
      <c r="BD61" s="1182"/>
      <c r="BE61" s="1182"/>
      <c r="BF61" s="1182"/>
      <c r="BG61" s="1182"/>
      <c r="BH61" s="1182"/>
      <c r="BI61" s="1182"/>
      <c r="BJ61" s="1182"/>
      <c r="BK61" s="1182"/>
      <c r="BL61" s="1182"/>
      <c r="BM61" s="1182"/>
      <c r="BN61" s="2195">
        <f>BN59-BN60</f>
        <v>0</v>
      </c>
      <c r="BO61" s="2196"/>
      <c r="BP61" s="2196"/>
      <c r="BQ61" s="2196"/>
      <c r="BR61" s="2196"/>
      <c r="BS61" s="2196"/>
      <c r="BT61" s="2196"/>
      <c r="BU61" s="2196"/>
      <c r="BV61" s="2196"/>
      <c r="BW61" s="2196"/>
      <c r="BX61" s="2196"/>
      <c r="BY61" s="2196"/>
      <c r="BZ61" s="2196"/>
      <c r="CA61" s="2196"/>
      <c r="CB61" s="2196"/>
      <c r="CC61" s="2196"/>
      <c r="CD61" s="1141"/>
      <c r="CE61" s="1138"/>
      <c r="CF61" s="1138"/>
    </row>
    <row r="62" spans="2:84" s="1126" customFormat="1" ht="20.15" customHeight="1">
      <c r="B62" s="2192" t="s">
        <v>404</v>
      </c>
      <c r="C62" s="2193"/>
      <c r="D62" s="2194" t="s">
        <v>1318</v>
      </c>
      <c r="E62" s="1182"/>
      <c r="F62" s="1182"/>
      <c r="G62" s="1182"/>
      <c r="H62" s="1182"/>
      <c r="I62" s="1182"/>
      <c r="J62" s="1182"/>
      <c r="K62" s="1182"/>
      <c r="L62" s="1182"/>
      <c r="M62" s="1182"/>
      <c r="N62" s="1182"/>
      <c r="O62" s="1182"/>
      <c r="P62" s="1182"/>
      <c r="Q62" s="1182"/>
      <c r="R62" s="1182"/>
      <c r="S62" s="1182"/>
      <c r="T62" s="1182"/>
      <c r="U62" s="1182"/>
      <c r="V62" s="1182"/>
      <c r="W62" s="1182"/>
      <c r="X62" s="1182"/>
      <c r="Y62" s="1182"/>
      <c r="Z62" s="1182"/>
      <c r="AA62" s="1182"/>
      <c r="AB62" s="1182"/>
      <c r="AC62" s="1182"/>
      <c r="AD62" s="1182"/>
      <c r="AE62" s="1182"/>
      <c r="AF62" s="1182"/>
      <c r="AG62" s="1182"/>
      <c r="AH62" s="1182"/>
      <c r="AI62" s="1182"/>
      <c r="AJ62" s="1182"/>
      <c r="AK62" s="1182"/>
      <c r="AL62" s="1182"/>
      <c r="AM62" s="1182"/>
      <c r="AN62" s="1182"/>
      <c r="AO62" s="1182"/>
      <c r="AP62" s="1182"/>
      <c r="AQ62" s="1182"/>
      <c r="AR62" s="1182"/>
      <c r="AS62" s="1182"/>
      <c r="AT62" s="1182"/>
      <c r="AU62" s="1182"/>
      <c r="AV62" s="1182"/>
      <c r="AW62" s="1182"/>
      <c r="AX62" s="1182"/>
      <c r="AY62" s="1182"/>
      <c r="AZ62" s="1182"/>
      <c r="BA62" s="1182"/>
      <c r="BB62" s="1182"/>
      <c r="BC62" s="1182"/>
      <c r="BD62" s="1182"/>
      <c r="BE62" s="1182"/>
      <c r="BF62" s="1182"/>
      <c r="BG62" s="1182"/>
      <c r="BH62" s="1182"/>
      <c r="BI62" s="1182"/>
      <c r="BJ62" s="1182"/>
      <c r="BK62" s="1182"/>
      <c r="BL62" s="1183"/>
      <c r="BM62" s="1183"/>
      <c r="BN62" s="2195">
        <f>'GENERAL INFO'!G145</f>
        <v>0</v>
      </c>
      <c r="BO62" s="2196"/>
      <c r="BP62" s="2196"/>
      <c r="BQ62" s="2196"/>
      <c r="BR62" s="2196"/>
      <c r="BS62" s="2196"/>
      <c r="BT62" s="2196"/>
      <c r="BU62" s="2196"/>
      <c r="BV62" s="2196"/>
      <c r="BW62" s="2196"/>
      <c r="BX62" s="2196"/>
      <c r="BY62" s="2196"/>
      <c r="BZ62" s="2196"/>
      <c r="CA62" s="2196"/>
      <c r="CB62" s="2196"/>
      <c r="CC62" s="2196"/>
      <c r="CD62" s="1141"/>
      <c r="CE62" s="1138"/>
      <c r="CF62" s="1138"/>
    </row>
    <row r="63" spans="2:84" s="1126" customFormat="1" ht="20.15" customHeight="1">
      <c r="B63" s="2192" t="s">
        <v>405</v>
      </c>
      <c r="C63" s="2193"/>
      <c r="D63" s="2194" t="s">
        <v>1319</v>
      </c>
      <c r="E63" s="1182"/>
      <c r="F63" s="1182"/>
      <c r="G63" s="1182"/>
      <c r="H63" s="1182"/>
      <c r="I63" s="1182"/>
      <c r="J63" s="1182"/>
      <c r="K63" s="1182"/>
      <c r="L63" s="1182"/>
      <c r="M63" s="1182"/>
      <c r="N63" s="1182"/>
      <c r="O63" s="1182"/>
      <c r="P63" s="1182"/>
      <c r="Q63" s="1182"/>
      <c r="R63" s="1182"/>
      <c r="S63" s="1182"/>
      <c r="T63" s="1182"/>
      <c r="U63" s="1182"/>
      <c r="V63" s="1182"/>
      <c r="W63" s="1182"/>
      <c r="X63" s="1182"/>
      <c r="Y63" s="1182"/>
      <c r="Z63" s="1182"/>
      <c r="AA63" s="1182"/>
      <c r="AB63" s="1182"/>
      <c r="AC63" s="1182"/>
      <c r="AD63" s="1182"/>
      <c r="AE63" s="1182"/>
      <c r="AF63" s="1182"/>
      <c r="AG63" s="1182"/>
      <c r="AH63" s="1182"/>
      <c r="AI63" s="1182"/>
      <c r="AJ63" s="1182"/>
      <c r="AK63" s="1182"/>
      <c r="AL63" s="1182"/>
      <c r="AM63" s="1182"/>
      <c r="AN63" s="1182"/>
      <c r="AO63" s="1182"/>
      <c r="AP63" s="1182"/>
      <c r="AQ63" s="1182"/>
      <c r="AR63" s="1182"/>
      <c r="AS63" s="1182"/>
      <c r="AT63" s="1182"/>
      <c r="AU63" s="1182"/>
      <c r="AV63" s="1182"/>
      <c r="AW63" s="1182"/>
      <c r="AX63" s="1182"/>
      <c r="AY63" s="1182"/>
      <c r="AZ63" s="1182"/>
      <c r="BA63" s="1182"/>
      <c r="BB63" s="1182"/>
      <c r="BC63" s="1182"/>
      <c r="BD63" s="1182"/>
      <c r="BE63" s="1182"/>
      <c r="BF63" s="1182"/>
      <c r="BG63" s="1182"/>
      <c r="BH63" s="1182"/>
      <c r="BI63" s="1182"/>
      <c r="BJ63" s="1182"/>
      <c r="BK63" s="1182"/>
      <c r="BL63" s="1183"/>
      <c r="BM63" s="1183"/>
      <c r="BN63" s="2195">
        <f>'GENERAL INFO'!G137</f>
        <v>0</v>
      </c>
      <c r="BO63" s="2196"/>
      <c r="BP63" s="2196"/>
      <c r="BQ63" s="2196"/>
      <c r="BR63" s="2196"/>
      <c r="BS63" s="2196"/>
      <c r="BT63" s="2196"/>
      <c r="BU63" s="2196"/>
      <c r="BV63" s="2196"/>
      <c r="BW63" s="2196"/>
      <c r="BX63" s="2196"/>
      <c r="BY63" s="2196"/>
      <c r="BZ63" s="2196"/>
      <c r="CA63" s="2196"/>
      <c r="CB63" s="2196"/>
      <c r="CC63" s="2196"/>
      <c r="CD63" s="1141"/>
      <c r="CE63" s="1138"/>
      <c r="CF63" s="1138"/>
    </row>
    <row r="64" spans="2:84" s="1126" customFormat="1" ht="20.15" customHeight="1">
      <c r="B64" s="2192" t="s">
        <v>468</v>
      </c>
      <c r="C64" s="2193"/>
      <c r="D64" s="2194" t="s">
        <v>1320</v>
      </c>
      <c r="E64" s="1182"/>
      <c r="F64" s="1182"/>
      <c r="G64" s="1182"/>
      <c r="H64" s="1182"/>
      <c r="I64" s="1182"/>
      <c r="J64" s="1182"/>
      <c r="K64" s="1182"/>
      <c r="L64" s="1182"/>
      <c r="M64" s="1182"/>
      <c r="N64" s="1182"/>
      <c r="O64" s="1182"/>
      <c r="P64" s="1182"/>
      <c r="Q64" s="1182"/>
      <c r="R64" s="1182"/>
      <c r="S64" s="1182"/>
      <c r="T64" s="1182"/>
      <c r="U64" s="1182"/>
      <c r="V64" s="1182"/>
      <c r="W64" s="1182"/>
      <c r="X64" s="1182"/>
      <c r="Y64" s="1182"/>
      <c r="Z64" s="1182"/>
      <c r="AA64" s="1182"/>
      <c r="AB64" s="1182"/>
      <c r="AC64" s="1182"/>
      <c r="AD64" s="1182"/>
      <c r="AE64" s="1182"/>
      <c r="AF64" s="1182"/>
      <c r="AG64" s="1182"/>
      <c r="AH64" s="1182"/>
      <c r="AI64" s="1182"/>
      <c r="AJ64" s="1182"/>
      <c r="AK64" s="1182"/>
      <c r="AL64" s="1182"/>
      <c r="AM64" s="1182"/>
      <c r="AN64" s="1182"/>
      <c r="AO64" s="1182"/>
      <c r="AP64" s="1182"/>
      <c r="AQ64" s="1182"/>
      <c r="AR64" s="1182"/>
      <c r="AS64" s="1182"/>
      <c r="AT64" s="1182"/>
      <c r="AU64" s="1182"/>
      <c r="AV64" s="1182"/>
      <c r="AW64" s="1182"/>
      <c r="AX64" s="1182"/>
      <c r="AY64" s="1182"/>
      <c r="AZ64" s="1182"/>
      <c r="BA64" s="1182"/>
      <c r="BB64" s="1182"/>
      <c r="BC64" s="1182"/>
      <c r="BD64" s="1182"/>
      <c r="BE64" s="1182"/>
      <c r="BF64" s="1182"/>
      <c r="BG64" s="1182"/>
      <c r="BH64" s="1182"/>
      <c r="BI64" s="1182"/>
      <c r="BJ64" s="1182"/>
      <c r="BK64" s="1182"/>
      <c r="BL64" s="1183"/>
      <c r="BM64" s="1183"/>
      <c r="BN64" s="2195">
        <f>'GENERAL INFO'!G147</f>
        <v>0</v>
      </c>
      <c r="BO64" s="2196"/>
      <c r="BP64" s="2196"/>
      <c r="BQ64" s="2196"/>
      <c r="BR64" s="2196"/>
      <c r="BS64" s="2196"/>
      <c r="BT64" s="2196"/>
      <c r="BU64" s="2196"/>
      <c r="BV64" s="2196"/>
      <c r="BW64" s="2196"/>
      <c r="BX64" s="2196"/>
      <c r="BY64" s="2196"/>
      <c r="BZ64" s="2196"/>
      <c r="CA64" s="2196"/>
      <c r="CB64" s="2196"/>
      <c r="CC64" s="2196"/>
      <c r="CD64" s="1141"/>
      <c r="CE64" s="1138"/>
      <c r="CF64" s="1138"/>
    </row>
    <row r="65" spans="2:84" s="1126" customFormat="1" ht="20.15" customHeight="1">
      <c r="B65" s="2192" t="s">
        <v>469</v>
      </c>
      <c r="C65" s="2193"/>
      <c r="D65" s="2194" t="s">
        <v>1321</v>
      </c>
      <c r="E65" s="1182"/>
      <c r="F65" s="1182"/>
      <c r="G65" s="1182"/>
      <c r="H65" s="1182"/>
      <c r="I65" s="1182"/>
      <c r="J65" s="1182"/>
      <c r="K65" s="1182"/>
      <c r="L65" s="1182"/>
      <c r="M65" s="1182"/>
      <c r="N65" s="1182"/>
      <c r="O65" s="1182"/>
      <c r="P65" s="1182"/>
      <c r="Q65" s="1182"/>
      <c r="R65" s="1182"/>
      <c r="S65" s="1182"/>
      <c r="T65" s="1182"/>
      <c r="U65" s="1182"/>
      <c r="V65" s="1182"/>
      <c r="W65" s="1182"/>
      <c r="X65" s="1182"/>
      <c r="Y65" s="1182"/>
      <c r="Z65" s="1182"/>
      <c r="AA65" s="1182"/>
      <c r="AB65" s="1182"/>
      <c r="AC65" s="1182"/>
      <c r="AD65" s="1182"/>
      <c r="AE65" s="1182"/>
      <c r="AF65" s="1182"/>
      <c r="AG65" s="1182"/>
      <c r="AH65" s="1182"/>
      <c r="AI65" s="1182"/>
      <c r="AJ65" s="1182"/>
      <c r="AK65" s="1182"/>
      <c r="AL65" s="1182"/>
      <c r="AM65" s="1182"/>
      <c r="AN65" s="1182"/>
      <c r="AO65" s="1182"/>
      <c r="AP65" s="1182"/>
      <c r="AQ65" s="1182"/>
      <c r="AR65" s="1182"/>
      <c r="AS65" s="1182"/>
      <c r="AT65" s="1182"/>
      <c r="AU65" s="1182"/>
      <c r="AV65" s="1182"/>
      <c r="AW65" s="1182"/>
      <c r="AX65" s="1182"/>
      <c r="AY65" s="1182"/>
      <c r="AZ65" s="1182"/>
      <c r="BA65" s="1182"/>
      <c r="BB65" s="1182"/>
      <c r="BC65" s="1182"/>
      <c r="BD65" s="1182"/>
      <c r="BE65" s="1182"/>
      <c r="BF65" s="1182"/>
      <c r="BG65" s="1182"/>
      <c r="BH65" s="1182"/>
      <c r="BI65" s="1183"/>
      <c r="BJ65" s="1183"/>
      <c r="BK65" s="1183"/>
      <c r="BL65" s="1183"/>
      <c r="BM65" s="1184"/>
      <c r="BN65" s="2195">
        <f>+BN64</f>
        <v>0</v>
      </c>
      <c r="BO65" s="2196"/>
      <c r="BP65" s="2196"/>
      <c r="BQ65" s="2196"/>
      <c r="BR65" s="2196"/>
      <c r="BS65" s="2196"/>
      <c r="BT65" s="2196"/>
      <c r="BU65" s="2196"/>
      <c r="BV65" s="2196"/>
      <c r="BW65" s="2196"/>
      <c r="BX65" s="2196"/>
      <c r="BY65" s="2196"/>
      <c r="BZ65" s="2196"/>
      <c r="CA65" s="2196"/>
      <c r="CB65" s="2196"/>
      <c r="CC65" s="2196"/>
      <c r="CD65" s="1141"/>
      <c r="CE65" s="1138"/>
      <c r="CF65" s="1138"/>
    </row>
    <row r="66" spans="2:84" s="1126" customFormat="1" ht="24" customHeight="1">
      <c r="B66" s="2189" t="s">
        <v>1257</v>
      </c>
      <c r="C66" s="2189"/>
      <c r="D66" s="2189"/>
      <c r="E66" s="2189"/>
      <c r="F66" s="2189"/>
      <c r="G66" s="2189"/>
      <c r="H66" s="2189"/>
      <c r="I66" s="2189"/>
      <c r="J66" s="2189"/>
      <c r="K66" s="2189"/>
      <c r="L66" s="2189"/>
      <c r="M66" s="2189"/>
      <c r="N66" s="2189"/>
      <c r="O66" s="2189"/>
      <c r="P66" s="2189"/>
      <c r="Q66" s="2189"/>
      <c r="R66" s="2189"/>
      <c r="S66" s="2189"/>
      <c r="T66" s="2189"/>
      <c r="U66" s="2189"/>
      <c r="V66" s="2189"/>
      <c r="W66" s="2189"/>
      <c r="X66" s="2189"/>
      <c r="Y66" s="2189"/>
      <c r="Z66" s="2189"/>
      <c r="AA66" s="2189"/>
      <c r="AB66" s="2189"/>
      <c r="AC66" s="2189"/>
      <c r="AD66" s="2189"/>
      <c r="AE66" s="2189"/>
      <c r="AF66" s="2189"/>
      <c r="AG66" s="2189"/>
      <c r="AH66" s="1185"/>
      <c r="AI66" s="1185"/>
      <c r="AJ66" s="1185"/>
      <c r="AK66" s="1185"/>
      <c r="AL66" s="1185"/>
      <c r="AM66" s="1185"/>
      <c r="AN66" s="1185"/>
      <c r="AO66" s="1185"/>
      <c r="AP66" s="1185"/>
      <c r="AQ66" s="1185"/>
      <c r="AR66" s="1185"/>
      <c r="AS66" s="1185"/>
      <c r="AT66" s="1185"/>
      <c r="AU66" s="1185"/>
      <c r="AV66" s="1185"/>
      <c r="AW66" s="1185"/>
      <c r="AX66" s="1185"/>
      <c r="AY66" s="1185"/>
      <c r="AZ66" s="1185"/>
      <c r="BA66" s="1185"/>
      <c r="BB66" s="1185"/>
      <c r="BC66" s="1185"/>
      <c r="BD66" s="1185"/>
      <c r="BE66" s="1185"/>
      <c r="BF66" s="1185"/>
      <c r="BG66" s="1185"/>
      <c r="BH66" s="1185"/>
      <c r="BI66" s="1185"/>
      <c r="BJ66" s="1185"/>
      <c r="BK66" s="1185"/>
      <c r="BL66" s="1185"/>
      <c r="BM66" s="1185"/>
      <c r="BN66" s="1185"/>
      <c r="BO66" s="1185"/>
      <c r="BP66" s="1142"/>
      <c r="BQ66" s="1142"/>
      <c r="BR66" s="1142"/>
      <c r="BS66" s="1142"/>
      <c r="BT66" s="1142"/>
      <c r="BU66" s="1142"/>
      <c r="BV66" s="1142"/>
      <c r="BW66" s="1142"/>
      <c r="BX66" s="1142"/>
      <c r="BY66" s="1142"/>
      <c r="BZ66" s="1142"/>
      <c r="CA66" s="1142"/>
      <c r="CB66" s="1142"/>
      <c r="CC66" s="1142"/>
      <c r="CD66" s="1142"/>
      <c r="CE66" s="1138"/>
      <c r="CF66" s="1138"/>
    </row>
    <row r="67" spans="2:84" s="1126" customFormat="1" ht="4.5" customHeight="1" thickBot="1">
      <c r="B67" s="1186"/>
      <c r="C67" s="1186"/>
      <c r="D67" s="1186"/>
      <c r="E67" s="1095"/>
      <c r="F67" s="1187"/>
      <c r="G67" s="1094"/>
      <c r="H67" s="1094"/>
      <c r="I67" s="1094"/>
      <c r="J67" s="1094"/>
      <c r="K67" s="1188"/>
      <c r="L67" s="1188"/>
      <c r="M67" s="1188"/>
      <c r="N67" s="1188"/>
      <c r="O67" s="1188"/>
      <c r="P67" s="1188"/>
      <c r="Q67" s="1188"/>
      <c r="R67" s="1188"/>
      <c r="S67" s="1188"/>
      <c r="T67" s="1188"/>
      <c r="U67" s="1188"/>
      <c r="V67" s="1188"/>
      <c r="W67" s="1188"/>
      <c r="X67" s="1188"/>
      <c r="Y67" s="1188"/>
      <c r="Z67" s="1188"/>
      <c r="AA67" s="1188"/>
      <c r="AB67" s="1188"/>
      <c r="AC67" s="1188"/>
      <c r="AD67" s="1188"/>
      <c r="AE67" s="1188"/>
      <c r="AF67" s="1188"/>
      <c r="AG67" s="1188"/>
      <c r="AH67" s="1188"/>
      <c r="AI67" s="1188"/>
      <c r="AJ67" s="1188"/>
      <c r="AK67" s="1188"/>
      <c r="AL67" s="1188"/>
      <c r="AM67" s="1188"/>
      <c r="AN67" s="1188"/>
      <c r="AO67" s="1188"/>
      <c r="AP67" s="1188"/>
      <c r="AQ67" s="1188"/>
      <c r="AR67" s="1188"/>
      <c r="AS67" s="1188"/>
      <c r="AT67" s="1188"/>
      <c r="AU67" s="1188"/>
      <c r="AV67" s="1188"/>
      <c r="AW67" s="1188"/>
      <c r="AX67" s="1188"/>
      <c r="AY67" s="1188"/>
      <c r="AZ67" s="1188"/>
      <c r="BA67" s="1188"/>
      <c r="BB67" s="1188"/>
      <c r="BC67" s="1188"/>
      <c r="BD67" s="1188"/>
      <c r="BE67" s="1188"/>
      <c r="BF67" s="1188"/>
      <c r="BG67" s="1188"/>
      <c r="BH67" s="1188"/>
      <c r="BI67" s="1188"/>
      <c r="BJ67" s="1188"/>
      <c r="BK67" s="1188"/>
      <c r="BL67" s="1188"/>
      <c r="BM67" s="1188"/>
      <c r="BN67" s="1188"/>
      <c r="BO67" s="1188"/>
      <c r="BP67" s="1146"/>
      <c r="BQ67" s="1146"/>
      <c r="BR67" s="1146"/>
      <c r="BS67" s="1146"/>
      <c r="BT67" s="1146"/>
      <c r="BU67" s="1146"/>
      <c r="BV67" s="1146"/>
      <c r="BW67" s="1146"/>
      <c r="BX67" s="1146"/>
      <c r="BY67" s="1146"/>
      <c r="BZ67" s="1146"/>
      <c r="CA67" s="1146"/>
      <c r="CB67" s="1146"/>
      <c r="CC67" s="1146"/>
      <c r="CD67" s="1146"/>
      <c r="CE67" s="1138"/>
      <c r="CF67" s="1138"/>
    </row>
    <row r="68" spans="2:84" s="1126" customFormat="1" ht="10" customHeight="1">
      <c r="B68" s="1189"/>
      <c r="C68" s="1190"/>
      <c r="D68" s="1190"/>
      <c r="E68" s="1190"/>
      <c r="F68" s="1190"/>
      <c r="G68" s="1190"/>
      <c r="H68" s="1190"/>
      <c r="I68" s="1190"/>
      <c r="J68" s="1190"/>
      <c r="K68" s="1190"/>
      <c r="L68" s="1190"/>
      <c r="M68" s="1190"/>
      <c r="N68" s="1190"/>
      <c r="O68" s="1064"/>
      <c r="P68" s="1064"/>
      <c r="Q68" s="1064"/>
      <c r="R68" s="1064"/>
      <c r="S68" s="1064"/>
      <c r="T68" s="1064"/>
      <c r="U68" s="1064"/>
      <c r="V68" s="1064"/>
      <c r="W68" s="1064"/>
      <c r="X68" s="1064"/>
      <c r="Y68" s="1064"/>
      <c r="Z68" s="1064"/>
      <c r="AA68" s="1064"/>
      <c r="AB68" s="1064"/>
      <c r="AC68" s="1064"/>
      <c r="AD68" s="1064"/>
      <c r="AE68" s="1064"/>
      <c r="AF68" s="1064"/>
      <c r="AG68" s="1064"/>
      <c r="AH68" s="1064"/>
      <c r="AI68" s="1064"/>
      <c r="AJ68" s="1064"/>
      <c r="AK68" s="1064"/>
      <c r="AL68" s="1064"/>
      <c r="AM68" s="1064"/>
      <c r="AN68" s="1064"/>
      <c r="AO68" s="1064"/>
      <c r="AP68" s="1065"/>
      <c r="AQ68" s="1065"/>
      <c r="AR68" s="1065"/>
      <c r="AS68" s="1065"/>
      <c r="AT68" s="1065"/>
      <c r="AU68" s="1065"/>
      <c r="AV68" s="1065"/>
      <c r="AW68" s="1065"/>
      <c r="AX68" s="1065"/>
      <c r="AY68" s="1065"/>
      <c r="AZ68" s="1065"/>
      <c r="BA68" s="1065"/>
      <c r="BB68" s="1065"/>
      <c r="BC68" s="1065"/>
      <c r="BD68" s="1065"/>
      <c r="BE68" s="1065"/>
      <c r="BF68" s="1065"/>
      <c r="BG68" s="1065"/>
      <c r="BH68" s="1065"/>
      <c r="BI68" s="1065"/>
      <c r="BJ68" s="1065"/>
      <c r="BK68" s="1065"/>
      <c r="BL68" s="1065"/>
      <c r="BM68" s="1065"/>
      <c r="BN68" s="1065"/>
      <c r="BO68" s="1065"/>
      <c r="BP68" s="1065"/>
      <c r="BQ68" s="1065"/>
      <c r="BR68" s="1065"/>
      <c r="BS68" s="1065"/>
      <c r="BT68" s="1065"/>
      <c r="BU68" s="1065"/>
      <c r="BV68" s="1065"/>
      <c r="BW68" s="1065"/>
      <c r="BX68" s="1065"/>
      <c r="BY68" s="1065"/>
      <c r="BZ68" s="1065"/>
      <c r="CA68" s="1065"/>
      <c r="CB68" s="1065"/>
      <c r="CC68" s="1065"/>
      <c r="CD68" s="1066"/>
      <c r="CE68" s="1138"/>
      <c r="CF68" s="1138"/>
    </row>
    <row r="69" spans="2:84" s="1126" customFormat="1" ht="13.5" customHeight="1">
      <c r="B69" s="1196" t="s">
        <v>386</v>
      </c>
      <c r="C69" s="1197"/>
      <c r="D69" s="1198" t="s">
        <v>1195</v>
      </c>
      <c r="E69" s="1198"/>
      <c r="F69" s="1198"/>
      <c r="G69" s="1198"/>
      <c r="H69" s="1191" t="s">
        <v>26</v>
      </c>
      <c r="I69" s="1199" t="s">
        <v>1258</v>
      </c>
      <c r="J69" s="1199"/>
      <c r="K69" s="1199"/>
      <c r="L69" s="2190" t="s">
        <v>30</v>
      </c>
      <c r="M69" s="2190"/>
      <c r="N69" s="2190"/>
      <c r="O69" s="2190"/>
      <c r="P69" s="2190"/>
      <c r="Q69" s="2190"/>
      <c r="R69" s="2190"/>
      <c r="S69" s="2190"/>
      <c r="T69" s="2190"/>
      <c r="U69" s="2190"/>
      <c r="V69" s="2190"/>
      <c r="W69" s="2190"/>
      <c r="X69" s="2190"/>
      <c r="Y69" s="2190"/>
      <c r="Z69" s="2190"/>
      <c r="AA69" s="2190"/>
      <c r="AB69" s="2190"/>
      <c r="AC69" s="2190"/>
      <c r="AD69" s="2190"/>
      <c r="AE69" s="2190"/>
      <c r="AF69" s="2190"/>
      <c r="AG69" s="2190"/>
      <c r="AH69" s="2190"/>
      <c r="AI69" s="2190"/>
      <c r="AJ69" s="2190"/>
      <c r="AK69" s="2190"/>
      <c r="AL69" s="2190"/>
      <c r="AM69" s="2190"/>
      <c r="AN69" s="2190"/>
      <c r="AO69" s="2190"/>
      <c r="AP69" s="2190"/>
      <c r="AQ69" s="2190"/>
      <c r="AR69" s="2190"/>
      <c r="AS69" s="1192"/>
      <c r="AT69" s="1192"/>
      <c r="AU69" s="1071"/>
      <c r="AV69" s="2191" t="s">
        <v>1259</v>
      </c>
      <c r="AW69" s="2191"/>
      <c r="AX69" s="2191"/>
      <c r="AY69" s="2191"/>
      <c r="AZ69" s="2191"/>
      <c r="BA69" s="2191"/>
      <c r="BB69" s="2191"/>
      <c r="BC69" s="2191"/>
      <c r="BD69" s="2191"/>
      <c r="BE69" s="2191"/>
      <c r="BF69" s="2191"/>
      <c r="BG69" s="2191"/>
      <c r="BH69" s="2191"/>
      <c r="BI69" s="2191"/>
      <c r="BJ69" s="2191"/>
      <c r="BK69" s="2191"/>
      <c r="BL69" s="2191"/>
      <c r="BM69" s="2191"/>
      <c r="BN69" s="2191"/>
      <c r="BO69" s="1071"/>
      <c r="BP69" s="1098"/>
      <c r="BQ69" s="2177"/>
      <c r="BR69" s="2178"/>
      <c r="BS69" s="2178"/>
      <c r="BT69" s="2178"/>
      <c r="BU69" s="2178"/>
      <c r="BV69" s="2178"/>
      <c r="BW69" s="2178"/>
      <c r="BX69" s="2178"/>
      <c r="BY69" s="2178"/>
      <c r="BZ69" s="2178"/>
      <c r="CA69" s="2178"/>
      <c r="CB69" s="2178"/>
      <c r="CC69" s="2179"/>
      <c r="CD69" s="1072"/>
      <c r="CE69" s="1138"/>
      <c r="CF69" s="1138"/>
    </row>
    <row r="70" spans="2:84" s="1126" customFormat="1" ht="10" customHeight="1">
      <c r="B70" s="1193"/>
      <c r="C70" s="1194"/>
      <c r="D70" s="1194"/>
      <c r="E70" s="1194"/>
      <c r="F70" s="1194"/>
      <c r="G70" s="1194"/>
      <c r="H70" s="1194"/>
      <c r="I70" s="1194"/>
      <c r="J70" s="1195"/>
      <c r="K70" s="1195"/>
      <c r="L70" s="1195"/>
      <c r="M70" s="1194"/>
      <c r="N70" s="1194"/>
      <c r="O70" s="1076"/>
      <c r="P70" s="1076"/>
      <c r="Q70" s="1076"/>
      <c r="R70" s="1077"/>
      <c r="S70" s="1077"/>
      <c r="T70" s="1077"/>
      <c r="U70" s="1077"/>
      <c r="V70" s="1077"/>
      <c r="W70" s="1077"/>
      <c r="X70" s="1077"/>
      <c r="Y70" s="1077"/>
      <c r="Z70" s="1077"/>
      <c r="AA70" s="1077"/>
      <c r="AB70" s="1077"/>
      <c r="AC70" s="1077"/>
      <c r="AD70" s="1077"/>
      <c r="AE70" s="1077"/>
      <c r="AF70" s="1077"/>
      <c r="AG70" s="1077"/>
      <c r="AH70" s="1077"/>
      <c r="AI70" s="1077"/>
      <c r="AJ70" s="1077"/>
      <c r="AK70" s="1077"/>
      <c r="AL70" s="1077"/>
      <c r="AM70" s="1077"/>
      <c r="AN70" s="1077"/>
      <c r="AO70" s="1077"/>
      <c r="AP70" s="1070"/>
      <c r="AQ70" s="1070"/>
      <c r="AR70" s="1070"/>
      <c r="AS70" s="1070"/>
      <c r="AT70" s="1070"/>
      <c r="AU70" s="1070"/>
      <c r="AV70" s="1070"/>
      <c r="AW70" s="1070"/>
      <c r="AX70" s="1070"/>
      <c r="AY70" s="1070"/>
      <c r="AZ70" s="1070"/>
      <c r="BA70" s="1070"/>
      <c r="BB70" s="1070"/>
      <c r="BC70" s="1070"/>
      <c r="BD70" s="1070"/>
      <c r="BE70" s="1070"/>
      <c r="BF70" s="1070"/>
      <c r="BG70" s="1070"/>
      <c r="BH70" s="1070"/>
      <c r="BI70" s="1070"/>
      <c r="BJ70" s="1070"/>
      <c r="BK70" s="1070"/>
      <c r="BL70" s="1070"/>
      <c r="BM70" s="1070"/>
      <c r="BN70" s="1070"/>
      <c r="BO70" s="1070"/>
      <c r="BP70" s="1070"/>
      <c r="BQ70" s="2180"/>
      <c r="BR70" s="1099"/>
      <c r="BS70" s="1099"/>
      <c r="BT70" s="1099"/>
      <c r="BU70" s="1099"/>
      <c r="BV70" s="1099"/>
      <c r="BW70" s="1099"/>
      <c r="BX70" s="1099"/>
      <c r="BY70" s="1099"/>
      <c r="BZ70" s="1099"/>
      <c r="CA70" s="1099"/>
      <c r="CB70" s="1099"/>
      <c r="CC70" s="2181"/>
      <c r="CD70" s="1072"/>
      <c r="CE70" s="1138"/>
      <c r="CF70" s="1138"/>
    </row>
    <row r="71" spans="2:84" s="1126" customFormat="1" ht="13.5" customHeight="1">
      <c r="B71" s="1196" t="s">
        <v>387</v>
      </c>
      <c r="C71" s="1197"/>
      <c r="D71" s="1198" t="s">
        <v>629</v>
      </c>
      <c r="E71" s="1198"/>
      <c r="F71" s="1198"/>
      <c r="G71" s="1198"/>
      <c r="H71" s="1194" t="s">
        <v>26</v>
      </c>
      <c r="I71" s="1199" t="s">
        <v>1260</v>
      </c>
      <c r="J71" s="1199"/>
      <c r="K71" s="1199"/>
      <c r="L71" s="2185"/>
      <c r="M71" s="2185"/>
      <c r="N71" s="2185"/>
      <c r="O71" s="2185"/>
      <c r="P71" s="2185"/>
      <c r="Q71" s="2185"/>
      <c r="R71" s="2185"/>
      <c r="S71" s="2185"/>
      <c r="T71" s="2185"/>
      <c r="U71" s="2185"/>
      <c r="V71" s="2185"/>
      <c r="W71" s="2185"/>
      <c r="X71" s="2185"/>
      <c r="Y71" s="2185"/>
      <c r="Z71" s="2185"/>
      <c r="AA71" s="2185"/>
      <c r="AB71" s="2185"/>
      <c r="AC71" s="2185"/>
      <c r="AD71" s="2185"/>
      <c r="AE71" s="2185"/>
      <c r="AF71" s="2185"/>
      <c r="AG71" s="2185"/>
      <c r="AH71" s="2185"/>
      <c r="AI71" s="2185"/>
      <c r="AJ71" s="2185"/>
      <c r="AK71" s="2185"/>
      <c r="AL71" s="2185"/>
      <c r="AM71" s="2185"/>
      <c r="AN71" s="2185"/>
      <c r="AO71" s="2185"/>
      <c r="AP71" s="2185"/>
      <c r="AQ71" s="2185"/>
      <c r="AR71" s="2185"/>
      <c r="AS71" s="2186" t="s">
        <v>1261</v>
      </c>
      <c r="AT71" s="2186"/>
      <c r="AU71" s="2186"/>
      <c r="AV71" s="2187">
        <f>'GENERAL INFO'!G113</f>
        <v>0</v>
      </c>
      <c r="AW71" s="2187"/>
      <c r="AX71" s="2187"/>
      <c r="AY71" s="2187"/>
      <c r="AZ71" s="2187"/>
      <c r="BA71" s="2187"/>
      <c r="BB71" s="2187"/>
      <c r="BC71" s="2187"/>
      <c r="BD71" s="2187"/>
      <c r="BE71" s="2187"/>
      <c r="BF71" s="2187"/>
      <c r="BG71" s="2187"/>
      <c r="BH71" s="2187"/>
      <c r="BI71" s="2187"/>
      <c r="BJ71" s="2187"/>
      <c r="BK71" s="2187"/>
      <c r="BL71" s="2187"/>
      <c r="BM71" s="2187"/>
      <c r="BN71" s="2187"/>
      <c r="BO71" s="2187"/>
      <c r="BP71" s="1094"/>
      <c r="BQ71" s="2180"/>
      <c r="BR71" s="1099"/>
      <c r="BS71" s="1099"/>
      <c r="BT71" s="1099"/>
      <c r="BU71" s="1099"/>
      <c r="BV71" s="1099"/>
      <c r="BW71" s="1099"/>
      <c r="BX71" s="1099"/>
      <c r="BY71" s="1099"/>
      <c r="BZ71" s="1099"/>
      <c r="CA71" s="1099"/>
      <c r="CB71" s="1099"/>
      <c r="CC71" s="2181"/>
      <c r="CD71" s="1079"/>
      <c r="CE71" s="1138"/>
      <c r="CF71" s="1138"/>
    </row>
    <row r="72" spans="2:84" s="1126" customFormat="1" ht="13.5" customHeight="1">
      <c r="B72" s="1196"/>
      <c r="C72" s="1197"/>
      <c r="D72" s="1198"/>
      <c r="E72" s="1198"/>
      <c r="F72" s="1198"/>
      <c r="G72" s="1198"/>
      <c r="H72" s="1194"/>
      <c r="I72" s="1199"/>
      <c r="J72" s="1199"/>
      <c r="K72" s="1199"/>
      <c r="L72" s="1199"/>
      <c r="M72" s="1126"/>
      <c r="N72" s="1126"/>
      <c r="O72" s="1126"/>
      <c r="P72" s="1093"/>
      <c r="Q72" s="1093"/>
      <c r="R72" s="1094"/>
      <c r="S72" s="1094"/>
      <c r="T72" s="1094"/>
      <c r="U72" s="1094"/>
      <c r="V72" s="1094"/>
      <c r="W72" s="1094"/>
      <c r="X72" s="1094"/>
      <c r="Y72" s="1094"/>
      <c r="Z72" s="1094"/>
      <c r="AA72" s="1094"/>
      <c r="AB72" s="1094"/>
      <c r="AC72" s="1094"/>
      <c r="AD72" s="1094"/>
      <c r="AE72" s="1094"/>
      <c r="AF72" s="1094"/>
      <c r="AG72" s="1094"/>
      <c r="AH72" s="1094"/>
      <c r="AI72" s="1094"/>
      <c r="AJ72" s="1094"/>
      <c r="AK72" s="1094"/>
      <c r="AL72" s="1094"/>
      <c r="AM72" s="1094"/>
      <c r="AN72" s="1094"/>
      <c r="AO72" s="1094"/>
      <c r="AP72" s="1094"/>
      <c r="AQ72" s="1094"/>
      <c r="AR72" s="1094"/>
      <c r="AS72" s="1094"/>
      <c r="AT72" s="1147"/>
      <c r="AU72" s="1147"/>
      <c r="AV72" s="2188" t="s">
        <v>1262</v>
      </c>
      <c r="AW72" s="2188"/>
      <c r="AX72" s="2188"/>
      <c r="AY72" s="2188"/>
      <c r="AZ72" s="2188"/>
      <c r="BA72" s="2188"/>
      <c r="BB72" s="2188"/>
      <c r="BC72" s="2188"/>
      <c r="BD72" s="2188"/>
      <c r="BE72" s="2188"/>
      <c r="BF72" s="2188"/>
      <c r="BG72" s="2188"/>
      <c r="BH72" s="2188"/>
      <c r="BI72" s="1094"/>
      <c r="BJ72" s="1094"/>
      <c r="BK72" s="1094"/>
      <c r="BL72" s="1094"/>
      <c r="BM72" s="1094"/>
      <c r="BN72" s="1094"/>
      <c r="BO72" s="1094"/>
      <c r="BP72" s="1094"/>
      <c r="BQ72" s="2182"/>
      <c r="BR72" s="2183"/>
      <c r="BS72" s="2183"/>
      <c r="BT72" s="2183"/>
      <c r="BU72" s="2183"/>
      <c r="BV72" s="2183"/>
      <c r="BW72" s="2183"/>
      <c r="BX72" s="2183"/>
      <c r="BY72" s="2183"/>
      <c r="BZ72" s="2183"/>
      <c r="CA72" s="2183"/>
      <c r="CB72" s="2183"/>
      <c r="CC72" s="2184"/>
      <c r="CD72" s="1079"/>
      <c r="CE72" s="1138"/>
      <c r="CF72" s="1138"/>
    </row>
    <row r="73" spans="2:84" s="1126" customFormat="1" ht="10" customHeight="1" thickBot="1">
      <c r="B73" s="1081"/>
      <c r="C73" s="1082"/>
      <c r="D73" s="1083"/>
      <c r="E73" s="1083"/>
      <c r="F73" s="1083"/>
      <c r="G73" s="1083"/>
      <c r="H73" s="1083"/>
      <c r="I73" s="1083"/>
      <c r="J73" s="1084"/>
      <c r="K73" s="1084"/>
      <c r="L73" s="1084"/>
      <c r="M73" s="1083"/>
      <c r="N73" s="1085"/>
      <c r="O73" s="1085"/>
      <c r="P73" s="1085"/>
      <c r="Q73" s="1085"/>
      <c r="R73" s="1086"/>
      <c r="S73" s="1086"/>
      <c r="T73" s="1086"/>
      <c r="U73" s="1086"/>
      <c r="V73" s="1086"/>
      <c r="W73" s="1086"/>
      <c r="X73" s="1086"/>
      <c r="Y73" s="1086"/>
      <c r="Z73" s="1086"/>
      <c r="AA73" s="1086"/>
      <c r="AB73" s="1086"/>
      <c r="AC73" s="1086"/>
      <c r="AD73" s="1086"/>
      <c r="AE73" s="1086"/>
      <c r="AF73" s="1086"/>
      <c r="AG73" s="1086"/>
      <c r="AH73" s="1086"/>
      <c r="AI73" s="1086"/>
      <c r="AJ73" s="1086"/>
      <c r="AK73" s="1086"/>
      <c r="AL73" s="1086"/>
      <c r="AM73" s="1086"/>
      <c r="AN73" s="1086"/>
      <c r="AO73" s="1086"/>
      <c r="AP73" s="1086"/>
      <c r="AQ73" s="1086"/>
      <c r="AR73" s="1086"/>
      <c r="AS73" s="1086"/>
      <c r="AT73" s="1086"/>
      <c r="AU73" s="1086"/>
      <c r="AV73" s="1086"/>
      <c r="AW73" s="1086"/>
      <c r="AX73" s="1086"/>
      <c r="AY73" s="1086"/>
      <c r="AZ73" s="1086"/>
      <c r="BA73" s="1086"/>
      <c r="BB73" s="1086"/>
      <c r="BC73" s="1086"/>
      <c r="BD73" s="1086"/>
      <c r="BE73" s="1086"/>
      <c r="BF73" s="1086"/>
      <c r="BG73" s="1086"/>
      <c r="BH73" s="1086"/>
      <c r="BI73" s="1086"/>
      <c r="BJ73" s="1086"/>
      <c r="BK73" s="1086"/>
      <c r="BL73" s="1086"/>
      <c r="BM73" s="1086"/>
      <c r="BN73" s="1086"/>
      <c r="BO73" s="1086"/>
      <c r="BP73" s="1086"/>
      <c r="BQ73" s="1086"/>
      <c r="BR73" s="1086"/>
      <c r="BS73" s="1086"/>
      <c r="BT73" s="1086"/>
      <c r="BU73" s="1086"/>
      <c r="BV73" s="1086"/>
      <c r="BW73" s="1086"/>
      <c r="BX73" s="1086"/>
      <c r="BY73" s="1086"/>
      <c r="BZ73" s="1086"/>
      <c r="CA73" s="1086"/>
      <c r="CB73" s="1086"/>
      <c r="CC73" s="1086"/>
      <c r="CD73" s="1087"/>
      <c r="CE73" s="1138"/>
      <c r="CF73" s="1138"/>
    </row>
    <row r="74" spans="2:84" s="1126" customFormat="1" ht="13.5" customHeight="1">
      <c r="B74" s="1143"/>
      <c r="C74" s="1143"/>
      <c r="D74" s="1143"/>
      <c r="E74" s="1069"/>
      <c r="F74" s="1144"/>
      <c r="G74" s="1145"/>
      <c r="H74" s="1145"/>
      <c r="I74" s="1145"/>
      <c r="J74" s="1145"/>
      <c r="K74" s="1146"/>
      <c r="L74" s="1146"/>
      <c r="M74" s="1146"/>
      <c r="N74" s="1146"/>
      <c r="O74" s="1146"/>
      <c r="P74" s="1146"/>
      <c r="Q74" s="1146"/>
      <c r="R74" s="1146"/>
      <c r="S74" s="1146"/>
      <c r="T74" s="1146"/>
      <c r="U74" s="1146"/>
      <c r="V74" s="1146"/>
      <c r="W74" s="1146"/>
      <c r="X74" s="1146"/>
      <c r="Y74" s="1146"/>
      <c r="Z74" s="1146"/>
      <c r="AA74" s="1146"/>
      <c r="AB74" s="1146"/>
      <c r="AC74" s="1146"/>
      <c r="AD74" s="1146"/>
      <c r="AE74" s="1146"/>
      <c r="AF74" s="1146"/>
      <c r="AG74" s="1146"/>
      <c r="AH74" s="1146"/>
      <c r="AI74" s="1146"/>
      <c r="AJ74" s="1146"/>
      <c r="AK74" s="1146"/>
      <c r="AL74" s="1146"/>
      <c r="AM74" s="1146"/>
      <c r="AN74" s="1146"/>
      <c r="AO74" s="1146"/>
      <c r="AP74" s="1146"/>
      <c r="AQ74" s="1146"/>
      <c r="AR74" s="1146"/>
      <c r="AS74" s="1146"/>
      <c r="AT74" s="1146"/>
      <c r="AU74" s="1146"/>
      <c r="AV74" s="1146"/>
      <c r="AW74" s="1146"/>
      <c r="AX74" s="1146"/>
      <c r="AY74" s="1146"/>
      <c r="AZ74" s="1146"/>
      <c r="BA74" s="1146"/>
      <c r="BB74" s="1146"/>
      <c r="BC74" s="1146"/>
      <c r="BD74" s="1146"/>
      <c r="BE74" s="1146"/>
      <c r="BF74" s="1146"/>
      <c r="BG74" s="1146"/>
      <c r="BH74" s="1146"/>
      <c r="BI74" s="1146"/>
      <c r="BJ74" s="1146"/>
      <c r="BK74" s="1146"/>
      <c r="BL74" s="1146"/>
      <c r="BM74" s="1146"/>
      <c r="BN74" s="1146"/>
      <c r="BO74" s="1146"/>
      <c r="BP74" s="1146"/>
      <c r="BQ74" s="1146"/>
      <c r="BR74" s="1146"/>
      <c r="BS74" s="1146"/>
      <c r="BT74" s="1146"/>
      <c r="BU74" s="1146"/>
      <c r="BV74" s="1146"/>
      <c r="BW74" s="1146"/>
      <c r="BX74" s="1146"/>
      <c r="BY74" s="1146"/>
      <c r="BZ74" s="1146"/>
      <c r="CA74" s="1146"/>
      <c r="CB74" s="1146"/>
      <c r="CC74" s="1146"/>
      <c r="CD74" s="1146"/>
      <c r="CE74" s="1138"/>
      <c r="CF74" s="1138"/>
    </row>
    <row r="75" ht="4.5" customHeight="1"/>
    <row r="76" spans="1:84" ht="9" customHeight="1">
      <c r="A76" s="1019"/>
      <c r="B76" s="1020"/>
      <c r="C76" s="1020"/>
      <c r="BU76" s="2176"/>
      <c r="BV76" s="2176"/>
      <c r="BW76" s="2176"/>
      <c r="BX76" s="2176"/>
      <c r="BY76" s="2176"/>
      <c r="BZ76" s="2176"/>
      <c r="CA76" s="2176"/>
      <c r="CB76" s="2176"/>
      <c r="CC76" s="1148"/>
      <c r="CD76" s="1148"/>
      <c r="CE76" s="1149"/>
      <c r="CF76" s="1019"/>
    </row>
    <row r="77" ht="6" customHeight="1"/>
  </sheetData>
  <sheetProtection password="BDAF" sheet="1" objects="1" scenarios="1" selectLockedCells="1" selectUnlockedCells="1"/>
  <mergeCells count="154">
    <mergeCell ref="B1:P1"/>
    <mergeCell ref="Z3:BK10"/>
    <mergeCell ref="BN5:CD5"/>
    <mergeCell ref="BL6:CD7"/>
    <mergeCell ref="BL8:CF8"/>
    <mergeCell ref="BR10:CD10"/>
    <mergeCell ref="B11:Y11"/>
    <mergeCell ref="AM11:BP12"/>
    <mergeCell ref="BR11:CE11"/>
    <mergeCell ref="B12:Y14"/>
    <mergeCell ref="Z12:AG12"/>
    <mergeCell ref="AH12:AK12"/>
    <mergeCell ref="BR12:BS12"/>
    <mergeCell ref="BU12:BW12"/>
    <mergeCell ref="BY12:CB12"/>
    <mergeCell ref="BS13:BU13"/>
    <mergeCell ref="B21:CD21"/>
    <mergeCell ref="B24:C24"/>
    <mergeCell ref="D24:H24"/>
    <mergeCell ref="J24:K24"/>
    <mergeCell ref="L24:AW24"/>
    <mergeCell ref="AZ24:BB24"/>
    <mergeCell ref="BC24:CD24"/>
    <mergeCell ref="C16:J16"/>
    <mergeCell ref="L16:O16"/>
    <mergeCell ref="P16:BC16"/>
    <mergeCell ref="BO16:BQ16"/>
    <mergeCell ref="C18:J18"/>
    <mergeCell ref="L18:O18"/>
    <mergeCell ref="P18:CC18"/>
    <mergeCell ref="BN26:BP27"/>
    <mergeCell ref="BV26:BX27"/>
    <mergeCell ref="B29:C29"/>
    <mergeCell ref="D29:H29"/>
    <mergeCell ref="J29:K29"/>
    <mergeCell ref="L29:AW29"/>
    <mergeCell ref="AZ29:BB29"/>
    <mergeCell ref="BN29:CC29"/>
    <mergeCell ref="B26:C26"/>
    <mergeCell ref="D26:H27"/>
    <mergeCell ref="I26:I27"/>
    <mergeCell ref="J26:K27"/>
    <mergeCell ref="L26:AW27"/>
    <mergeCell ref="BE26:BH27"/>
    <mergeCell ref="B35:C35"/>
    <mergeCell ref="D35:L35"/>
    <mergeCell ref="M35:P35"/>
    <mergeCell ref="Q35:S35"/>
    <mergeCell ref="AH35:AJ35"/>
    <mergeCell ref="B37:BG37"/>
    <mergeCell ref="BO31:BQ31"/>
    <mergeCell ref="BR31:BS31"/>
    <mergeCell ref="BT31:BV31"/>
    <mergeCell ref="B33:C33"/>
    <mergeCell ref="D33:H33"/>
    <mergeCell ref="L33:AW33"/>
    <mergeCell ref="AZ33:BB33"/>
    <mergeCell ref="BR33:BT33"/>
    <mergeCell ref="B31:C31"/>
    <mergeCell ref="D31:H31"/>
    <mergeCell ref="J31:K31"/>
    <mergeCell ref="L31:AW31"/>
    <mergeCell ref="AZ31:BB31"/>
    <mergeCell ref="BC31:BM31"/>
    <mergeCell ref="B43:T43"/>
    <mergeCell ref="BN43:CD43"/>
    <mergeCell ref="B44:C44"/>
    <mergeCell ref="D44:BM44"/>
    <mergeCell ref="BN44:CC44"/>
    <mergeCell ref="B45:C45"/>
    <mergeCell ref="D45:V45"/>
    <mergeCell ref="BN45:CC45"/>
    <mergeCell ref="B39:BM39"/>
    <mergeCell ref="BN39:CD39"/>
    <mergeCell ref="B41:L41"/>
    <mergeCell ref="O41:Q41"/>
    <mergeCell ref="R41:Y41"/>
    <mergeCell ref="AA41:AD41"/>
    <mergeCell ref="AE41:AN41"/>
    <mergeCell ref="BF41:BM41"/>
    <mergeCell ref="BN41:CD41"/>
    <mergeCell ref="B48:C48"/>
    <mergeCell ref="D48:BM48"/>
    <mergeCell ref="BN48:CC48"/>
    <mergeCell ref="B49:C49"/>
    <mergeCell ref="D49:BM49"/>
    <mergeCell ref="BN49:CC49"/>
    <mergeCell ref="B46:C46"/>
    <mergeCell ref="D46:AV46"/>
    <mergeCell ref="BN46:CC46"/>
    <mergeCell ref="B47:C47"/>
    <mergeCell ref="D47:BM47"/>
    <mergeCell ref="BN47:CC47"/>
    <mergeCell ref="B52:O52"/>
    <mergeCell ref="BN52:CD52"/>
    <mergeCell ref="B53:C53"/>
    <mergeCell ref="D53:AS53"/>
    <mergeCell ref="BN53:CC53"/>
    <mergeCell ref="B54:C54"/>
    <mergeCell ref="D54:AP54"/>
    <mergeCell ref="BN54:CC54"/>
    <mergeCell ref="B50:C50"/>
    <mergeCell ref="D50:AY50"/>
    <mergeCell ref="BN50:CC50"/>
    <mergeCell ref="B51:C51"/>
    <mergeCell ref="D51:AR51"/>
    <mergeCell ref="BN51:CC51"/>
    <mergeCell ref="B58:C58"/>
    <mergeCell ref="D58:BF58"/>
    <mergeCell ref="BN58:CC58"/>
    <mergeCell ref="B59:C59"/>
    <mergeCell ref="D59:BM59"/>
    <mergeCell ref="BN59:CC59"/>
    <mergeCell ref="B55:C55"/>
    <mergeCell ref="D55:BE55"/>
    <mergeCell ref="BN55:CC55"/>
    <mergeCell ref="B56:W56"/>
    <mergeCell ref="BN56:CD56"/>
    <mergeCell ref="B57:C57"/>
    <mergeCell ref="D57:BE57"/>
    <mergeCell ref="BN57:CC57"/>
    <mergeCell ref="B62:C62"/>
    <mergeCell ref="D62:BK62"/>
    <mergeCell ref="BN62:CC62"/>
    <mergeCell ref="B63:C63"/>
    <mergeCell ref="D63:BK63"/>
    <mergeCell ref="BN63:CC63"/>
    <mergeCell ref="B60:C60"/>
    <mergeCell ref="D60:BM60"/>
    <mergeCell ref="BN60:CC60"/>
    <mergeCell ref="B61:C61"/>
    <mergeCell ref="D61:BH61"/>
    <mergeCell ref="BN61:CC61"/>
    <mergeCell ref="B66:AG66"/>
    <mergeCell ref="B69:C69"/>
    <mergeCell ref="D69:G69"/>
    <mergeCell ref="I69:K69"/>
    <mergeCell ref="L69:AR69"/>
    <mergeCell ref="AV69:BN69"/>
    <mergeCell ref="B64:C64"/>
    <mergeCell ref="D64:BK64"/>
    <mergeCell ref="BN64:CC64"/>
    <mergeCell ref="B65:C65"/>
    <mergeCell ref="D65:BH65"/>
    <mergeCell ref="BN65:CC65"/>
    <mergeCell ref="BU76:CB76"/>
    <mergeCell ref="BQ69:CC72"/>
    <mergeCell ref="B71:C71"/>
    <mergeCell ref="D71:G71"/>
    <mergeCell ref="I71:K71"/>
    <mergeCell ref="L71:AR71"/>
    <mergeCell ref="AS71:AU71"/>
    <mergeCell ref="AV71:BO71"/>
    <mergeCell ref="AV72:BH72"/>
  </mergeCells>
  <printOptions horizontalCentered="1"/>
  <pageMargins left="0.7" right="0.7" top="0.75" bottom="0.75" header="0.3" footer="0.3"/>
  <pageSetup paperSize="5" scale="80" fitToHeight="0" orientation="portrait" r:id="rId1"/>
  <headerFooter alignWithMargins="0">
    <oddHeader>&amp;R&amp;"Arial,Bold"&amp;14C.2.1.&amp;P</oddHeader>
    <oddFooter>&amp;L&amp;8Page &amp;P of &amp;N&amp;R&amp;8Printed on &amp;D,&amp;T</oddFooter>
  </headerFooter>
  <drawing r:id="rId2"/>
</worksheet>
</file>

<file path=xl/worksheets/sheet1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6699"/>
    <pageSetUpPr fitToPage="1"/>
  </sheetPr>
  <dimension ref="A1:CF77"/>
  <sheetViews>
    <sheetView showGridLines="0" zoomScale="120" zoomScaleSheetLayoutView="120" view="pageBreakPreview" workbookViewId="0">
      <selection pane="topLeft" activeCell="Z3" sqref="Z3"/>
    </sheetView>
  </sheetViews>
  <sheetFormatPr defaultColWidth="9.13671875" defaultRowHeight="14" baseColWidth="0"/>
  <cols>
    <col min="1" max="4" width="1.7109375" style="1018" customWidth="1"/>
    <col min="5" max="5" width="0.85546875" style="1018" customWidth="1"/>
    <col min="6" max="7" width="1.7109375" style="1018" customWidth="1"/>
    <col min="8" max="8" width="3.28125" style="1018" customWidth="1"/>
    <col min="9" max="12" width="1.7109375" style="1018" customWidth="1"/>
    <col min="13" max="14" width="0.85546875" style="1018" customWidth="1"/>
    <col min="15" max="15" width="1.7109375" style="1018" customWidth="1"/>
    <col min="16" max="17" width="0.85546875" style="1018" customWidth="1"/>
    <col min="18" max="18" width="1.7109375" style="1018" customWidth="1"/>
    <col min="19" max="22" width="0.85546875" style="1018" customWidth="1"/>
    <col min="23" max="23" width="1.7109375" style="1018" customWidth="1"/>
    <col min="24" max="25" width="0.85546875" style="1018" customWidth="1"/>
    <col min="26" max="26" width="1.7109375" style="1018" customWidth="1"/>
    <col min="27" max="30" width="0.85546875" style="1018" customWidth="1"/>
    <col min="31" max="31" width="1.7109375" style="1018" customWidth="1"/>
    <col min="32" max="33" width="0.85546875" style="1018" customWidth="1"/>
    <col min="34" max="34" width="1.7109375" style="1018" customWidth="1"/>
    <col min="35" max="38" width="0.85546875" style="1018" customWidth="1"/>
    <col min="39" max="39" width="1.7109375" style="1018" customWidth="1"/>
    <col min="40" max="41" width="0.85546875" style="1018" customWidth="1"/>
    <col min="42" max="42" width="1.7109375" style="1018" customWidth="1"/>
    <col min="43" max="46" width="0.85546875" style="1018" customWidth="1"/>
    <col min="47" max="47" width="1.7109375" style="1018" customWidth="1"/>
    <col min="48" max="49" width="0.85546875" style="1018" customWidth="1"/>
    <col min="50" max="50" width="1.7109375" style="1018" customWidth="1"/>
    <col min="51" max="54" width="0.85546875" style="1018" customWidth="1"/>
    <col min="55" max="55" width="1.7109375" style="1018" customWidth="1"/>
    <col min="56" max="57" width="0.85546875" style="1018" customWidth="1"/>
    <col min="58" max="75" width="1.7109375" style="1018" customWidth="1"/>
    <col min="76" max="76" width="2.28125" style="1018" customWidth="1"/>
    <col min="77" max="77" width="0.85546875" style="1018" customWidth="1"/>
    <col min="78" max="78" width="2.28125" style="1018" customWidth="1"/>
    <col min="79" max="79" width="0.85546875" style="1018" customWidth="1"/>
    <col min="80" max="80" width="2.28125" style="1018" customWidth="1"/>
    <col min="81" max="81" width="0.85546875" style="1018" customWidth="1"/>
    <col min="82" max="82" width="2.28125" style="1018" customWidth="1"/>
    <col min="83" max="83" width="0.56640625" style="1018" customWidth="1"/>
    <col min="84" max="84" width="1.42578125" style="1018" customWidth="1"/>
    <col min="85" max="16384" width="9.13671875" style="1018" customWidth="1"/>
  </cols>
  <sheetData>
    <row r="1" spans="1:84" ht="21" customHeight="1">
      <c r="A1" s="1017"/>
      <c r="B1" s="2269" t="s">
        <v>1216</v>
      </c>
      <c r="C1" s="2269"/>
      <c r="D1" s="2269"/>
      <c r="E1" s="2269"/>
      <c r="F1" s="2269"/>
      <c r="G1" s="2269"/>
      <c r="H1" s="2269"/>
      <c r="I1" s="2269"/>
      <c r="J1" s="2269"/>
      <c r="K1" s="2269"/>
      <c r="L1" s="2269"/>
      <c r="M1" s="2269"/>
      <c r="N1" s="2269"/>
      <c r="O1" s="2269"/>
      <c r="P1" s="2269"/>
      <c r="Q1" s="1017"/>
      <c r="R1" s="1017"/>
      <c r="S1" s="1017"/>
      <c r="T1" s="1017"/>
      <c r="U1" s="1017"/>
      <c r="V1" s="1017"/>
      <c r="W1" s="1017"/>
      <c r="X1" s="1017"/>
      <c r="Y1" s="1017"/>
      <c r="Z1" s="1017"/>
      <c r="AA1" s="1017"/>
      <c r="AB1" s="1017"/>
      <c r="AC1" s="1017"/>
      <c r="AD1" s="1017"/>
      <c r="AE1" s="1017"/>
      <c r="AF1" s="1017"/>
      <c r="AG1" s="1017"/>
      <c r="AH1" s="1017"/>
      <c r="AI1" s="1017"/>
      <c r="AJ1" s="1017"/>
      <c r="AK1" s="1017"/>
      <c r="AL1" s="1017"/>
      <c r="AM1" s="1017"/>
      <c r="AN1" s="1017"/>
      <c r="AO1" s="1017"/>
      <c r="AP1" s="1017"/>
      <c r="AQ1" s="1017"/>
      <c r="AR1" s="1017"/>
      <c r="AS1" s="1017"/>
      <c r="AT1" s="1017"/>
      <c r="AU1" s="1017"/>
      <c r="AV1" s="1017"/>
      <c r="AW1" s="1017"/>
      <c r="AX1" s="1017"/>
      <c r="AY1" s="1017"/>
      <c r="AZ1" s="1017"/>
      <c r="BA1" s="1017"/>
      <c r="BB1" s="1017"/>
      <c r="BC1" s="1017"/>
      <c r="BD1" s="1017"/>
      <c r="BE1" s="1017"/>
      <c r="BF1" s="1017"/>
      <c r="BG1" s="1017"/>
      <c r="BH1" s="1017"/>
      <c r="BI1" s="1017"/>
      <c r="BJ1" s="1017"/>
      <c r="BK1" s="1017"/>
      <c r="BL1" s="1017"/>
      <c r="BM1" s="1017"/>
      <c r="BN1" s="1017"/>
      <c r="BO1" s="1017"/>
      <c r="BP1" s="1017"/>
      <c r="BQ1" s="1017"/>
      <c r="BR1" s="1017"/>
      <c r="BS1" s="1017"/>
      <c r="BT1" s="1017"/>
      <c r="BU1" s="1017"/>
      <c r="BV1" s="1017"/>
      <c r="BW1" s="1017"/>
      <c r="BX1" s="1017"/>
      <c r="BY1" s="1017"/>
      <c r="BZ1" s="1017"/>
      <c r="CA1" s="1017"/>
      <c r="CB1" s="1017"/>
      <c r="CC1" s="1017"/>
      <c r="CE1" s="1017"/>
      <c r="CF1" s="1017"/>
    </row>
    <row r="2" spans="1:84" ht="9" customHeight="1">
      <c r="A2" s="1019"/>
      <c r="B2" s="1020"/>
      <c r="C2" s="1020"/>
      <c r="D2" s="1018"/>
      <c r="E2" s="1018"/>
      <c r="F2" s="1018"/>
      <c r="G2" s="1018"/>
      <c r="H2" s="1018"/>
      <c r="I2" s="1018"/>
      <c r="J2" s="1018"/>
      <c r="K2" s="1018"/>
      <c r="L2" s="1018"/>
      <c r="M2" s="1018"/>
      <c r="N2" s="1018"/>
      <c r="O2" s="1018"/>
      <c r="P2" s="1018"/>
      <c r="Q2" s="1018"/>
      <c r="R2" s="1018"/>
      <c r="S2" s="1018"/>
      <c r="T2" s="1018"/>
      <c r="U2" s="1018"/>
      <c r="V2" s="1018"/>
      <c r="W2" s="1018"/>
      <c r="X2" s="1018"/>
      <c r="Y2" s="1018"/>
      <c r="Z2" s="1018"/>
      <c r="AA2" s="1018"/>
      <c r="AB2" s="1018"/>
      <c r="AC2" s="1018"/>
      <c r="AD2" s="1018"/>
      <c r="AE2" s="1018"/>
      <c r="AF2" s="1018"/>
      <c r="AG2" s="1018"/>
      <c r="AH2" s="1018"/>
      <c r="AI2" s="1018"/>
      <c r="AJ2" s="1018"/>
      <c r="AK2" s="1018"/>
      <c r="AL2" s="1018"/>
      <c r="AM2" s="1018"/>
      <c r="AN2" s="1018"/>
      <c r="AO2" s="1018"/>
      <c r="AP2" s="1018"/>
      <c r="AQ2" s="1018"/>
      <c r="AR2" s="1018"/>
      <c r="AS2" s="1018"/>
      <c r="AT2" s="1018"/>
      <c r="AU2" s="1018"/>
      <c r="AV2" s="1018"/>
      <c r="AW2" s="1018"/>
      <c r="AX2" s="1018"/>
      <c r="AY2" s="1018"/>
      <c r="AZ2" s="1018"/>
      <c r="BA2" s="1018"/>
      <c r="BB2" s="1018"/>
      <c r="BC2" s="1018"/>
      <c r="BD2" s="1018"/>
      <c r="BE2" s="1018"/>
      <c r="BF2" s="1018"/>
      <c r="BG2" s="1018"/>
      <c r="BH2" s="1018"/>
      <c r="BI2" s="1018"/>
      <c r="BJ2" s="1018"/>
      <c r="BK2" s="1018"/>
      <c r="BL2" s="1018"/>
      <c r="BM2" s="1018"/>
      <c r="BN2" s="1018"/>
      <c r="BO2" s="1018"/>
      <c r="BP2" s="1018"/>
      <c r="BQ2" s="1018"/>
      <c r="BR2" s="1018"/>
      <c r="BS2" s="1018"/>
      <c r="BT2" s="1018"/>
      <c r="BU2" s="1018"/>
      <c r="BV2" s="1018"/>
      <c r="BW2" s="1018"/>
      <c r="BX2" s="1018"/>
      <c r="BY2" s="1018"/>
      <c r="BZ2" s="1018"/>
      <c r="CA2" s="1018"/>
      <c r="CB2" s="1018"/>
      <c r="CC2" s="1020"/>
      <c r="CD2" s="1021"/>
      <c r="CE2" s="1019"/>
      <c r="CF2" s="1019"/>
    </row>
    <row r="3" spans="1:84" s="1019" customFormat="1" ht="9" customHeight="1">
      <c r="A3" s="1019"/>
      <c r="B3" s="1019"/>
      <c r="C3" s="1019"/>
      <c r="D3" s="1019"/>
      <c r="E3" s="1019"/>
      <c r="F3" s="1019"/>
      <c r="G3" s="1019"/>
      <c r="H3" s="1019"/>
      <c r="I3" s="1019"/>
      <c r="J3" s="1019"/>
      <c r="K3" s="1019"/>
      <c r="L3" s="1019"/>
      <c r="M3" s="1019"/>
      <c r="N3" s="1019"/>
      <c r="O3" s="1019"/>
      <c r="P3" s="1019"/>
      <c r="Q3" s="1019"/>
      <c r="R3" s="1019"/>
      <c r="S3" s="1019"/>
      <c r="T3" s="1019"/>
      <c r="U3" s="1019"/>
      <c r="V3" s="1019"/>
      <c r="W3" s="1019"/>
      <c r="X3" s="1019"/>
      <c r="Y3" s="1019"/>
      <c r="Z3" s="2295" t="s">
        <v>1217</v>
      </c>
      <c r="AA3" s="1050"/>
      <c r="AB3" s="1050"/>
      <c r="AC3" s="1050"/>
      <c r="AD3" s="1050"/>
      <c r="AE3" s="1050"/>
      <c r="AF3" s="1050"/>
      <c r="AG3" s="1050"/>
      <c r="AH3" s="1050"/>
      <c r="AI3" s="1050"/>
      <c r="AJ3" s="1050"/>
      <c r="AK3" s="1050"/>
      <c r="AL3" s="1050"/>
      <c r="AM3" s="1050"/>
      <c r="AN3" s="1050"/>
      <c r="AO3" s="1050"/>
      <c r="AP3" s="1050"/>
      <c r="AQ3" s="1050"/>
      <c r="AR3" s="1050"/>
      <c r="AS3" s="1050"/>
      <c r="AT3" s="1050"/>
      <c r="AU3" s="1050"/>
      <c r="AV3" s="1050"/>
      <c r="AW3" s="1050"/>
      <c r="AX3" s="1050"/>
      <c r="AY3" s="1050"/>
      <c r="AZ3" s="1050"/>
      <c r="BA3" s="1050"/>
      <c r="BB3" s="1050"/>
      <c r="BC3" s="1050"/>
      <c r="BD3" s="1050"/>
      <c r="BE3" s="1050"/>
      <c r="BF3" s="1050"/>
      <c r="BG3" s="1050"/>
      <c r="BH3" s="1050"/>
      <c r="BI3" s="1050"/>
      <c r="BJ3" s="1050"/>
      <c r="BK3" s="2296"/>
      <c r="BL3" s="1022"/>
      <c r="BM3" s="1023"/>
      <c r="BN3" s="1019"/>
      <c r="BO3" s="1019"/>
      <c r="BP3" s="1019"/>
      <c r="BQ3" s="1019"/>
      <c r="BR3" s="1019"/>
      <c r="BS3" s="1019"/>
      <c r="BT3" s="1019"/>
      <c r="BU3" s="1019"/>
      <c r="BV3" s="1019"/>
      <c r="BW3" s="1019"/>
      <c r="BX3" s="1019"/>
      <c r="BY3" s="1019"/>
      <c r="BZ3" s="1019"/>
      <c r="CA3" s="1019"/>
      <c r="CB3" s="1019"/>
      <c r="CC3" s="1019"/>
      <c r="CD3" s="1019"/>
      <c r="CE3" s="1024"/>
      <c r="CF3" s="1024"/>
    </row>
    <row r="4" spans="1:84" s="1019" customFormat="1" ht="9" customHeight="1">
      <c r="A4" s="1019"/>
      <c r="B4" s="1019"/>
      <c r="C4" s="1019"/>
      <c r="D4" s="1019"/>
      <c r="E4" s="1019"/>
      <c r="F4" s="1019"/>
      <c r="G4" s="1019"/>
      <c r="H4" s="1019"/>
      <c r="I4" s="1019"/>
      <c r="J4" s="1019"/>
      <c r="K4" s="1019"/>
      <c r="L4" s="1019"/>
      <c r="M4" s="1019"/>
      <c r="N4" s="1019"/>
      <c r="O4" s="1019"/>
      <c r="P4" s="1019"/>
      <c r="Q4" s="1019"/>
      <c r="R4" s="1019"/>
      <c r="S4" s="1019"/>
      <c r="T4" s="1019"/>
      <c r="U4" s="1019"/>
      <c r="V4" s="1019"/>
      <c r="W4" s="1019"/>
      <c r="X4" s="1019"/>
      <c r="Y4" s="1019"/>
      <c r="Z4" s="2295"/>
      <c r="AA4" s="1050"/>
      <c r="AB4" s="1050"/>
      <c r="AC4" s="1050"/>
      <c r="AD4" s="1050"/>
      <c r="AE4" s="1050"/>
      <c r="AF4" s="1050"/>
      <c r="AG4" s="1050"/>
      <c r="AH4" s="1050"/>
      <c r="AI4" s="1050"/>
      <c r="AJ4" s="1050"/>
      <c r="AK4" s="1050"/>
      <c r="AL4" s="1050"/>
      <c r="AM4" s="1050"/>
      <c r="AN4" s="1050"/>
      <c r="AO4" s="1050"/>
      <c r="AP4" s="1050"/>
      <c r="AQ4" s="1050"/>
      <c r="AR4" s="1050"/>
      <c r="AS4" s="1050"/>
      <c r="AT4" s="1050"/>
      <c r="AU4" s="1050"/>
      <c r="AV4" s="1050"/>
      <c r="AW4" s="1050"/>
      <c r="AX4" s="1050"/>
      <c r="AY4" s="1050"/>
      <c r="AZ4" s="1050"/>
      <c r="BA4" s="1050"/>
      <c r="BB4" s="1050"/>
      <c r="BC4" s="1050"/>
      <c r="BD4" s="1050"/>
      <c r="BE4" s="1050"/>
      <c r="BF4" s="1050"/>
      <c r="BG4" s="1050"/>
      <c r="BH4" s="1050"/>
      <c r="BI4" s="1050"/>
      <c r="BJ4" s="1050"/>
      <c r="BK4" s="2296"/>
      <c r="BL4" s="1022"/>
      <c r="BM4" s="1023"/>
      <c r="BN4" s="1019"/>
      <c r="BO4" s="1019"/>
      <c r="BP4" s="1019"/>
      <c r="BQ4" s="1019"/>
      <c r="BR4" s="1019"/>
      <c r="BS4" s="1019"/>
      <c r="BT4" s="1019"/>
      <c r="BU4" s="1019"/>
      <c r="BV4" s="1019"/>
      <c r="BW4" s="1019"/>
      <c r="BX4" s="1025"/>
      <c r="BY4" s="1019"/>
      <c r="BZ4" s="1026"/>
      <c r="CA4" s="1019"/>
      <c r="CB4" s="1025"/>
      <c r="CC4" s="1019"/>
      <c r="CD4" s="1026"/>
      <c r="CE4" s="1024"/>
      <c r="CF4" s="1024"/>
    </row>
    <row r="5" spans="2:84" ht="18.75" customHeight="1">
      <c r="B5" s="1027"/>
      <c r="C5" s="1027"/>
      <c r="D5" s="1027"/>
      <c r="E5" s="1027"/>
      <c r="F5" s="1027"/>
      <c r="G5" s="1027"/>
      <c r="H5" s="1027"/>
      <c r="I5" s="1027"/>
      <c r="J5" s="1027"/>
      <c r="K5" s="1027"/>
      <c r="L5" s="1027"/>
      <c r="M5" s="1027"/>
      <c r="N5" s="1027"/>
      <c r="O5" s="1027"/>
      <c r="P5" s="1027"/>
      <c r="Q5" s="1027"/>
      <c r="R5" s="1027"/>
      <c r="S5" s="1027"/>
      <c r="T5" s="1027"/>
      <c r="U5" s="1027"/>
      <c r="V5" s="1027"/>
      <c r="W5" s="1027"/>
      <c r="X5" s="1027"/>
      <c r="Y5" s="1027"/>
      <c r="Z5" s="2295"/>
      <c r="AA5" s="1050"/>
      <c r="AB5" s="1050"/>
      <c r="AC5" s="1050"/>
      <c r="AD5" s="1050"/>
      <c r="AE5" s="1050"/>
      <c r="AF5" s="1050"/>
      <c r="AG5" s="1050"/>
      <c r="AH5" s="1050"/>
      <c r="AI5" s="1050"/>
      <c r="AJ5" s="1050"/>
      <c r="AK5" s="1050"/>
      <c r="AL5" s="1050"/>
      <c r="AM5" s="1050"/>
      <c r="AN5" s="1050"/>
      <c r="AO5" s="1050"/>
      <c r="AP5" s="1050"/>
      <c r="AQ5" s="1050"/>
      <c r="AR5" s="1050"/>
      <c r="AS5" s="1050"/>
      <c r="AT5" s="1050"/>
      <c r="AU5" s="1050"/>
      <c r="AV5" s="1050"/>
      <c r="AW5" s="1050"/>
      <c r="AX5" s="1050"/>
      <c r="AY5" s="1050"/>
      <c r="AZ5" s="1050"/>
      <c r="BA5" s="1050"/>
      <c r="BB5" s="1050"/>
      <c r="BC5" s="1050"/>
      <c r="BD5" s="1050"/>
      <c r="BE5" s="1050"/>
      <c r="BF5" s="1050"/>
      <c r="BG5" s="1050"/>
      <c r="BH5" s="1050"/>
      <c r="BI5" s="1050"/>
      <c r="BJ5" s="1050"/>
      <c r="BK5" s="2296"/>
      <c r="BL5" s="1022"/>
      <c r="BM5" s="1023"/>
      <c r="BN5" s="2299" t="s">
        <v>1218</v>
      </c>
      <c r="BO5" s="2299"/>
      <c r="BP5" s="2299"/>
      <c r="BQ5" s="2299"/>
      <c r="BR5" s="2299"/>
      <c r="BS5" s="2299"/>
      <c r="BT5" s="2299"/>
      <c r="BU5" s="2299"/>
      <c r="BV5" s="2299"/>
      <c r="BW5" s="2299"/>
      <c r="BX5" s="2299"/>
      <c r="BY5" s="2299"/>
      <c r="BZ5" s="2299"/>
      <c r="CA5" s="2299"/>
      <c r="CB5" s="2299"/>
      <c r="CC5" s="2299"/>
      <c r="CD5" s="2299"/>
      <c r="CE5" s="1028"/>
      <c r="CF5" s="1029"/>
    </row>
    <row r="6" spans="2:84" ht="6" customHeight="1">
      <c r="B6" s="1027"/>
      <c r="C6" s="1027"/>
      <c r="D6" s="1027"/>
      <c r="E6" s="1027"/>
      <c r="F6" s="1027"/>
      <c r="G6" s="1027"/>
      <c r="H6" s="1027"/>
      <c r="I6" s="1027"/>
      <c r="J6" s="1027"/>
      <c r="K6" s="1027"/>
      <c r="L6" s="1027"/>
      <c r="M6" s="1027"/>
      <c r="N6" s="1027"/>
      <c r="O6" s="1027"/>
      <c r="P6" s="1027"/>
      <c r="Q6" s="1027"/>
      <c r="R6" s="1027"/>
      <c r="S6" s="1027"/>
      <c r="T6" s="1027"/>
      <c r="U6" s="1027"/>
      <c r="V6" s="1027"/>
      <c r="W6" s="1027"/>
      <c r="X6" s="1027"/>
      <c r="Y6" s="1027"/>
      <c r="Z6" s="2295"/>
      <c r="AA6" s="1050"/>
      <c r="AB6" s="1050"/>
      <c r="AC6" s="1050"/>
      <c r="AD6" s="1050"/>
      <c r="AE6" s="1050"/>
      <c r="AF6" s="1050"/>
      <c r="AG6" s="1050"/>
      <c r="AH6" s="1050"/>
      <c r="AI6" s="1050"/>
      <c r="AJ6" s="1050"/>
      <c r="AK6" s="1050"/>
      <c r="AL6" s="1050"/>
      <c r="AM6" s="1050"/>
      <c r="AN6" s="1050"/>
      <c r="AO6" s="1050"/>
      <c r="AP6" s="1050"/>
      <c r="AQ6" s="1050"/>
      <c r="AR6" s="1050"/>
      <c r="AS6" s="1050"/>
      <c r="AT6" s="1050"/>
      <c r="AU6" s="1050"/>
      <c r="AV6" s="1050"/>
      <c r="AW6" s="1050"/>
      <c r="AX6" s="1050"/>
      <c r="AY6" s="1050"/>
      <c r="AZ6" s="1050"/>
      <c r="BA6" s="1050"/>
      <c r="BB6" s="1050"/>
      <c r="BC6" s="1050"/>
      <c r="BD6" s="1050"/>
      <c r="BE6" s="1050"/>
      <c r="BF6" s="1050"/>
      <c r="BG6" s="1050"/>
      <c r="BH6" s="1050"/>
      <c r="BI6" s="1050"/>
      <c r="BJ6" s="1050"/>
      <c r="BK6" s="2296"/>
      <c r="BL6" s="2277" t="s">
        <v>1322</v>
      </c>
      <c r="BM6" s="2278"/>
      <c r="BN6" s="2278"/>
      <c r="BO6" s="2278"/>
      <c r="BP6" s="2278"/>
      <c r="BQ6" s="2278"/>
      <c r="BR6" s="2278"/>
      <c r="BS6" s="2278"/>
      <c r="BT6" s="2278"/>
      <c r="BU6" s="2278"/>
      <c r="BV6" s="2278"/>
      <c r="BW6" s="2278"/>
      <c r="BX6" s="2278"/>
      <c r="BY6" s="2278"/>
      <c r="BZ6" s="2278"/>
      <c r="CA6" s="2278"/>
      <c r="CB6" s="2278"/>
      <c r="CC6" s="2278"/>
      <c r="CD6" s="2278"/>
      <c r="CE6" s="1159"/>
      <c r="CF6" s="1159"/>
    </row>
    <row r="7" spans="2:84" ht="9" customHeight="1">
      <c r="B7" s="1027"/>
      <c r="C7" s="1027"/>
      <c r="D7" s="1027"/>
      <c r="E7" s="1027"/>
      <c r="F7" s="1027"/>
      <c r="G7" s="1027"/>
      <c r="H7" s="1027"/>
      <c r="I7" s="1027"/>
      <c r="J7" s="1027"/>
      <c r="K7" s="1027"/>
      <c r="L7" s="1027"/>
      <c r="M7" s="1027"/>
      <c r="N7" s="1027"/>
      <c r="O7" s="1027"/>
      <c r="P7" s="1027"/>
      <c r="Q7" s="1027"/>
      <c r="R7" s="1027"/>
      <c r="S7" s="1027"/>
      <c r="T7" s="1027"/>
      <c r="U7" s="1027"/>
      <c r="V7" s="1027"/>
      <c r="W7" s="1027"/>
      <c r="X7" s="1027"/>
      <c r="Y7" s="1027"/>
      <c r="Z7" s="2295"/>
      <c r="AA7" s="1050"/>
      <c r="AB7" s="1050"/>
      <c r="AC7" s="1050"/>
      <c r="AD7" s="1050"/>
      <c r="AE7" s="1050"/>
      <c r="AF7" s="1050"/>
      <c r="AG7" s="1050"/>
      <c r="AH7" s="1050"/>
      <c r="AI7" s="1050"/>
      <c r="AJ7" s="1050"/>
      <c r="AK7" s="1050"/>
      <c r="AL7" s="1050"/>
      <c r="AM7" s="1050"/>
      <c r="AN7" s="1050"/>
      <c r="AO7" s="1050"/>
      <c r="AP7" s="1050"/>
      <c r="AQ7" s="1050"/>
      <c r="AR7" s="1050"/>
      <c r="AS7" s="1050"/>
      <c r="AT7" s="1050"/>
      <c r="AU7" s="1050"/>
      <c r="AV7" s="1050"/>
      <c r="AW7" s="1050"/>
      <c r="AX7" s="1050"/>
      <c r="AY7" s="1050"/>
      <c r="AZ7" s="1050"/>
      <c r="BA7" s="1050"/>
      <c r="BB7" s="1050"/>
      <c r="BC7" s="1050"/>
      <c r="BD7" s="1050"/>
      <c r="BE7" s="1050"/>
      <c r="BF7" s="1050"/>
      <c r="BG7" s="1050"/>
      <c r="BH7" s="1050"/>
      <c r="BI7" s="1050"/>
      <c r="BJ7" s="1050"/>
      <c r="BK7" s="2296"/>
      <c r="BL7" s="2277"/>
      <c r="BM7" s="2278"/>
      <c r="BN7" s="2278"/>
      <c r="BO7" s="2278"/>
      <c r="BP7" s="2278"/>
      <c r="BQ7" s="2278"/>
      <c r="BR7" s="2278"/>
      <c r="BS7" s="2278"/>
      <c r="BT7" s="2278"/>
      <c r="BU7" s="2278"/>
      <c r="BV7" s="2278"/>
      <c r="BW7" s="2278"/>
      <c r="BX7" s="2278"/>
      <c r="BY7" s="2278"/>
      <c r="BZ7" s="2278"/>
      <c r="CA7" s="2278"/>
      <c r="CB7" s="2278"/>
      <c r="CC7" s="2278"/>
      <c r="CD7" s="2278"/>
      <c r="CE7" s="1200"/>
      <c r="CF7" s="1200"/>
    </row>
    <row r="8" spans="2:84" ht="9.75" customHeight="1">
      <c r="B8" s="1027"/>
      <c r="C8" s="1027"/>
      <c r="D8" s="1027"/>
      <c r="E8" s="1027"/>
      <c r="F8" s="1027"/>
      <c r="G8" s="1027"/>
      <c r="H8" s="1027"/>
      <c r="I8" s="1027"/>
      <c r="J8" s="1027"/>
      <c r="K8" s="1027"/>
      <c r="L8" s="1027"/>
      <c r="M8" s="1027"/>
      <c r="N8" s="1027"/>
      <c r="O8" s="1027"/>
      <c r="P8" s="1027"/>
      <c r="Q8" s="1027"/>
      <c r="R8" s="1027"/>
      <c r="S8" s="1027"/>
      <c r="T8" s="1027"/>
      <c r="U8" s="1027"/>
      <c r="V8" s="1027"/>
      <c r="W8" s="1027"/>
      <c r="X8" s="1027"/>
      <c r="Y8" s="1027"/>
      <c r="Z8" s="2295"/>
      <c r="AA8" s="1050"/>
      <c r="AB8" s="1050"/>
      <c r="AC8" s="1050"/>
      <c r="AD8" s="1050"/>
      <c r="AE8" s="1050"/>
      <c r="AF8" s="1050"/>
      <c r="AG8" s="1050"/>
      <c r="AH8" s="1050"/>
      <c r="AI8" s="1050"/>
      <c r="AJ8" s="1050"/>
      <c r="AK8" s="1050"/>
      <c r="AL8" s="1050"/>
      <c r="AM8" s="1050"/>
      <c r="AN8" s="1050"/>
      <c r="AO8" s="1050"/>
      <c r="AP8" s="1050"/>
      <c r="AQ8" s="1050"/>
      <c r="AR8" s="1050"/>
      <c r="AS8" s="1050"/>
      <c r="AT8" s="1050"/>
      <c r="AU8" s="1050"/>
      <c r="AV8" s="1050"/>
      <c r="AW8" s="1050"/>
      <c r="AX8" s="1050"/>
      <c r="AY8" s="1050"/>
      <c r="AZ8" s="1050"/>
      <c r="BA8" s="1050"/>
      <c r="BB8" s="1050"/>
      <c r="BC8" s="1050"/>
      <c r="BD8" s="1050"/>
      <c r="BE8" s="1050"/>
      <c r="BF8" s="1050"/>
      <c r="BG8" s="1050"/>
      <c r="BH8" s="1050"/>
      <c r="BI8" s="1050"/>
      <c r="BJ8" s="1050"/>
      <c r="BK8" s="2296"/>
      <c r="BL8" s="1201" t="s">
        <v>1323</v>
      </c>
      <c r="BM8" s="1202"/>
      <c r="BN8" s="1202"/>
      <c r="BO8" s="1202"/>
      <c r="BP8" s="1202"/>
      <c r="BQ8" s="1202"/>
      <c r="BR8" s="1202"/>
      <c r="BS8" s="1202"/>
      <c r="BT8" s="1202"/>
      <c r="BU8" s="1202"/>
      <c r="BV8" s="1202"/>
      <c r="BW8" s="1202"/>
      <c r="BX8" s="1202"/>
      <c r="BY8" s="1202"/>
      <c r="BZ8" s="1202"/>
      <c r="CA8" s="1202"/>
      <c r="CB8" s="1202"/>
      <c r="CC8" s="1202"/>
      <c r="CD8" s="1202"/>
      <c r="CE8" s="1202"/>
      <c r="CF8" s="1202"/>
    </row>
    <row r="9" spans="2:84" ht="6" customHeight="1">
      <c r="B9" s="1027"/>
      <c r="C9" s="1027"/>
      <c r="D9" s="1027"/>
      <c r="E9" s="1027"/>
      <c r="F9" s="1027"/>
      <c r="G9" s="1027"/>
      <c r="H9" s="1027"/>
      <c r="I9" s="1027"/>
      <c r="J9" s="1027"/>
      <c r="K9" s="1027"/>
      <c r="L9" s="1027"/>
      <c r="M9" s="1027"/>
      <c r="N9" s="1027"/>
      <c r="O9" s="1027"/>
      <c r="P9" s="1027"/>
      <c r="Q9" s="1027"/>
      <c r="R9" s="1027"/>
      <c r="S9" s="1027"/>
      <c r="T9" s="1027"/>
      <c r="U9" s="1027"/>
      <c r="V9" s="1027"/>
      <c r="W9" s="1027"/>
      <c r="X9" s="1027"/>
      <c r="Y9" s="1027"/>
      <c r="Z9" s="2295"/>
      <c r="AA9" s="1050"/>
      <c r="AB9" s="1050"/>
      <c r="AC9" s="1050"/>
      <c r="AD9" s="1050"/>
      <c r="AE9" s="1050"/>
      <c r="AF9" s="1050"/>
      <c r="AG9" s="1050"/>
      <c r="AH9" s="1050"/>
      <c r="AI9" s="1050"/>
      <c r="AJ9" s="1050"/>
      <c r="AK9" s="1050"/>
      <c r="AL9" s="1050"/>
      <c r="AM9" s="1050"/>
      <c r="AN9" s="1050"/>
      <c r="AO9" s="1050"/>
      <c r="AP9" s="1050"/>
      <c r="AQ9" s="1050"/>
      <c r="AR9" s="1050"/>
      <c r="AS9" s="1050"/>
      <c r="AT9" s="1050"/>
      <c r="AU9" s="1050"/>
      <c r="AV9" s="1050"/>
      <c r="AW9" s="1050"/>
      <c r="AX9" s="1050"/>
      <c r="AY9" s="1050"/>
      <c r="AZ9" s="1050"/>
      <c r="BA9" s="1050"/>
      <c r="BB9" s="1050"/>
      <c r="BC9" s="1050"/>
      <c r="BD9" s="1050"/>
      <c r="BE9" s="1050"/>
      <c r="BF9" s="1050"/>
      <c r="BG9" s="1050"/>
      <c r="BH9" s="1050"/>
      <c r="BI9" s="1050"/>
      <c r="BJ9" s="1050"/>
      <c r="BK9" s="2296"/>
      <c r="BL9" s="1201"/>
      <c r="BM9" s="1202"/>
      <c r="BN9" s="1202"/>
      <c r="BO9" s="1202"/>
      <c r="BP9" s="1202"/>
      <c r="BQ9" s="1202"/>
      <c r="BR9" s="1202"/>
      <c r="BS9" s="1202"/>
      <c r="BT9" s="1202"/>
      <c r="BU9" s="1202"/>
      <c r="BV9" s="1202"/>
      <c r="BW9" s="1202"/>
      <c r="BX9" s="1202"/>
      <c r="BY9" s="1202"/>
      <c r="BZ9" s="1202"/>
      <c r="CA9" s="1202"/>
      <c r="CB9" s="1202"/>
      <c r="CC9" s="1202"/>
      <c r="CD9" s="1202"/>
      <c r="CE9" s="1202"/>
      <c r="CF9" s="1202"/>
    </row>
    <row r="10" spans="2:84" ht="14.25" customHeight="1" thickBot="1">
      <c r="B10" s="1027"/>
      <c r="C10" s="1027"/>
      <c r="D10" s="1027"/>
      <c r="E10" s="1027"/>
      <c r="F10" s="1027"/>
      <c r="G10" s="1027"/>
      <c r="H10" s="1027"/>
      <c r="I10" s="1027"/>
      <c r="J10" s="1027"/>
      <c r="K10" s="1027"/>
      <c r="L10" s="1027"/>
      <c r="M10" s="1027"/>
      <c r="N10" s="1027"/>
      <c r="O10" s="1027"/>
      <c r="P10" s="1027"/>
      <c r="Q10" s="1027"/>
      <c r="R10" s="1027"/>
      <c r="S10" s="1027"/>
      <c r="T10" s="1027"/>
      <c r="U10" s="1027"/>
      <c r="V10" s="1027"/>
      <c r="W10" s="1027"/>
      <c r="X10" s="1027"/>
      <c r="Y10" s="1027"/>
      <c r="Z10" s="2297"/>
      <c r="AA10" s="1055"/>
      <c r="AB10" s="1055"/>
      <c r="AC10" s="1055"/>
      <c r="AD10" s="1055"/>
      <c r="AE10" s="1055"/>
      <c r="AF10" s="1055"/>
      <c r="AG10" s="1055"/>
      <c r="AH10" s="1055"/>
      <c r="AI10" s="1055"/>
      <c r="AJ10" s="1055"/>
      <c r="AK10" s="1055"/>
      <c r="AL10" s="1055"/>
      <c r="AM10" s="1055"/>
      <c r="AN10" s="1055"/>
      <c r="AO10" s="1055"/>
      <c r="AP10" s="1055"/>
      <c r="AQ10" s="1055"/>
      <c r="AR10" s="1055"/>
      <c r="AS10" s="1055"/>
      <c r="AT10" s="1055"/>
      <c r="AU10" s="1055"/>
      <c r="AV10" s="1055"/>
      <c r="AW10" s="1055"/>
      <c r="AX10" s="1055"/>
      <c r="AY10" s="1055"/>
      <c r="AZ10" s="1055"/>
      <c r="BA10" s="1055"/>
      <c r="BB10" s="1055"/>
      <c r="BC10" s="1055"/>
      <c r="BD10" s="1055"/>
      <c r="BE10" s="1055"/>
      <c r="BF10" s="1055"/>
      <c r="BG10" s="1055"/>
      <c r="BH10" s="1055"/>
      <c r="BI10" s="1055"/>
      <c r="BJ10" s="1055"/>
      <c r="BK10" s="2298"/>
      <c r="BL10" s="1203"/>
      <c r="BM10" s="1204"/>
      <c r="BN10" s="1205"/>
      <c r="BO10" s="1205"/>
      <c r="BP10" s="1205"/>
      <c r="BQ10" s="1205"/>
      <c r="BR10" s="2279" t="s">
        <v>1324</v>
      </c>
      <c r="BS10" s="2279"/>
      <c r="BT10" s="2279"/>
      <c r="BU10" s="2279"/>
      <c r="BV10" s="2279"/>
      <c r="BW10" s="2279"/>
      <c r="BX10" s="2279"/>
      <c r="BY10" s="2279"/>
      <c r="BZ10" s="2279"/>
      <c r="CA10" s="2279"/>
      <c r="CB10" s="2279"/>
      <c r="CC10" s="2279"/>
      <c r="CD10" s="2279"/>
      <c r="CE10" s="1206"/>
      <c r="CF10" s="1206"/>
    </row>
    <row r="11" spans="2:84" ht="15" customHeight="1">
      <c r="B11" s="2280" t="s">
        <v>1219</v>
      </c>
      <c r="C11" s="2280"/>
      <c r="D11" s="2280"/>
      <c r="E11" s="2280"/>
      <c r="F11" s="2280"/>
      <c r="G11" s="2280"/>
      <c r="H11" s="2280"/>
      <c r="I11" s="2280"/>
      <c r="J11" s="2280"/>
      <c r="K11" s="2280"/>
      <c r="L11" s="2280"/>
      <c r="M11" s="2280"/>
      <c r="N11" s="2280"/>
      <c r="O11" s="2280"/>
      <c r="P11" s="2280"/>
      <c r="Q11" s="2280"/>
      <c r="R11" s="2280"/>
      <c r="S11" s="2280"/>
      <c r="T11" s="2280"/>
      <c r="U11" s="2280"/>
      <c r="V11" s="2280"/>
      <c r="W11" s="2280"/>
      <c r="X11" s="2280"/>
      <c r="Y11" s="2281"/>
      <c r="Z11" s="1030"/>
      <c r="AA11" s="1031"/>
      <c r="AB11" s="1031"/>
      <c r="AC11" s="1031"/>
      <c r="AD11" s="1031"/>
      <c r="AE11" s="1031"/>
      <c r="AF11" s="1031"/>
      <c r="AG11" s="1031"/>
      <c r="AH11" s="1031"/>
      <c r="AI11" s="1031"/>
      <c r="AJ11" s="1032"/>
      <c r="AK11" s="1032"/>
      <c r="AL11" s="1032"/>
      <c r="AM11" s="2282" t="str">
        <f>'1770 S-1 JP'!T83</f>
        <v>.---</v>
      </c>
      <c r="AN11" s="2282"/>
      <c r="AO11" s="2282"/>
      <c r="AP11" s="2282"/>
      <c r="AQ11" s="2282"/>
      <c r="AR11" s="2282"/>
      <c r="AS11" s="2282"/>
      <c r="AT11" s="2282"/>
      <c r="AU11" s="2282"/>
      <c r="AV11" s="2282"/>
      <c r="AW11" s="2282"/>
      <c r="AX11" s="2282"/>
      <c r="AY11" s="2282"/>
      <c r="AZ11" s="2282"/>
      <c r="BA11" s="2282"/>
      <c r="BB11" s="2282"/>
      <c r="BC11" s="2282"/>
      <c r="BD11" s="2282"/>
      <c r="BE11" s="2282"/>
      <c r="BF11" s="2282"/>
      <c r="BG11" s="2282"/>
      <c r="BH11" s="2282"/>
      <c r="BI11" s="2282"/>
      <c r="BJ11" s="2282"/>
      <c r="BK11" s="2282"/>
      <c r="BL11" s="2282"/>
      <c r="BM11" s="2282"/>
      <c r="BN11" s="2282"/>
      <c r="BO11" s="2282"/>
      <c r="BP11" s="2282"/>
      <c r="BQ11" s="1033"/>
      <c r="BR11" s="2284" t="s">
        <v>1220</v>
      </c>
      <c r="BS11" s="2285"/>
      <c r="BT11" s="2285"/>
      <c r="BU11" s="2285"/>
      <c r="BV11" s="2285"/>
      <c r="BW11" s="2285"/>
      <c r="BX11" s="2285"/>
      <c r="BY11" s="2285"/>
      <c r="BZ11" s="2285"/>
      <c r="CA11" s="2285"/>
      <c r="CB11" s="2285"/>
      <c r="CC11" s="2285"/>
      <c r="CD11" s="2285"/>
      <c r="CE11" s="2285"/>
      <c r="CF11" s="1028"/>
    </row>
    <row r="12" spans="2:84" ht="11.25" customHeight="1">
      <c r="B12" s="2286" t="s">
        <v>1221</v>
      </c>
      <c r="C12" s="2286"/>
      <c r="D12" s="2286"/>
      <c r="E12" s="2286"/>
      <c r="F12" s="2286"/>
      <c r="G12" s="2286"/>
      <c r="H12" s="2286"/>
      <c r="I12" s="2286"/>
      <c r="J12" s="2286"/>
      <c r="K12" s="2286"/>
      <c r="L12" s="2286"/>
      <c r="M12" s="2286"/>
      <c r="N12" s="2286"/>
      <c r="O12" s="2286"/>
      <c r="P12" s="2286"/>
      <c r="Q12" s="2286"/>
      <c r="R12" s="2286"/>
      <c r="S12" s="2286"/>
      <c r="T12" s="2286"/>
      <c r="U12" s="2286"/>
      <c r="V12" s="2286"/>
      <c r="W12" s="2286"/>
      <c r="X12" s="2286"/>
      <c r="Y12" s="2287"/>
      <c r="Z12" s="1039" t="s">
        <v>728</v>
      </c>
      <c r="AA12" s="1040"/>
      <c r="AB12" s="1040"/>
      <c r="AC12" s="1040"/>
      <c r="AD12" s="1040"/>
      <c r="AE12" s="1040"/>
      <c r="AF12" s="1040"/>
      <c r="AG12" s="1040"/>
      <c r="AH12" s="2300" t="s">
        <v>1222</v>
      </c>
      <c r="AI12" s="2300"/>
      <c r="AJ12" s="2300"/>
      <c r="AK12" s="2300"/>
      <c r="AL12" s="1034"/>
      <c r="AM12" s="2283"/>
      <c r="AN12" s="2283"/>
      <c r="AO12" s="2283"/>
      <c r="AP12" s="2283"/>
      <c r="AQ12" s="2283"/>
      <c r="AR12" s="2283"/>
      <c r="AS12" s="2283"/>
      <c r="AT12" s="2283"/>
      <c r="AU12" s="2283"/>
      <c r="AV12" s="2283"/>
      <c r="AW12" s="2283"/>
      <c r="AX12" s="2283"/>
      <c r="AY12" s="2283"/>
      <c r="AZ12" s="2283"/>
      <c r="BA12" s="2283"/>
      <c r="BB12" s="2283"/>
      <c r="BC12" s="2283"/>
      <c r="BD12" s="2283"/>
      <c r="BE12" s="2283"/>
      <c r="BF12" s="2283"/>
      <c r="BG12" s="2283"/>
      <c r="BH12" s="2283"/>
      <c r="BI12" s="2283"/>
      <c r="BJ12" s="2283"/>
      <c r="BK12" s="2283"/>
      <c r="BL12" s="2283"/>
      <c r="BM12" s="2283"/>
      <c r="BN12" s="2283"/>
      <c r="BO12" s="2283"/>
      <c r="BP12" s="2283"/>
      <c r="BQ12" s="1035"/>
      <c r="BR12" s="2294" t="s">
        <v>1223</v>
      </c>
      <c r="BS12" s="2294"/>
      <c r="BT12" s="1036"/>
      <c r="BU12" s="2293">
        <f>'GENERAL INFO'!G108</f>
        <v>0</v>
      </c>
      <c r="BV12" s="2293"/>
      <c r="BW12" s="2293"/>
      <c r="BX12" s="1037" t="s">
        <v>30</v>
      </c>
      <c r="BY12" s="2293">
        <f>'GENERAL INFO'!J108</f>
        <v>0</v>
      </c>
      <c r="BZ12" s="2293"/>
      <c r="CA12" s="2293"/>
      <c r="CB12" s="2293"/>
      <c r="CC12" s="1038"/>
      <c r="CD12" s="1038"/>
      <c r="CE12" s="1038"/>
      <c r="CF12" s="1038"/>
    </row>
    <row r="13" spans="2:84" ht="3" customHeight="1">
      <c r="B13" s="2286"/>
      <c r="C13" s="2286"/>
      <c r="D13" s="2286"/>
      <c r="E13" s="2286"/>
      <c r="F13" s="2286"/>
      <c r="G13" s="2286"/>
      <c r="H13" s="2286"/>
      <c r="I13" s="2286"/>
      <c r="J13" s="2286"/>
      <c r="K13" s="2286"/>
      <c r="L13" s="2286"/>
      <c r="M13" s="2286"/>
      <c r="N13" s="2286"/>
      <c r="O13" s="2286"/>
      <c r="P13" s="2286"/>
      <c r="Q13" s="2286"/>
      <c r="R13" s="2286"/>
      <c r="S13" s="2286"/>
      <c r="T13" s="2286"/>
      <c r="U13" s="2286"/>
      <c r="V13" s="2286"/>
      <c r="W13" s="2286"/>
      <c r="X13" s="2286"/>
      <c r="Y13" s="2287"/>
      <c r="Z13" s="1039"/>
      <c r="AA13" s="1040"/>
      <c r="AB13" s="1040"/>
      <c r="AC13" s="1040"/>
      <c r="AD13" s="1040"/>
      <c r="AE13" s="1040"/>
      <c r="AF13" s="1040"/>
      <c r="AG13" s="1040"/>
      <c r="AH13" s="1041"/>
      <c r="AI13" s="1041"/>
      <c r="AJ13" s="1041"/>
      <c r="AK13" s="1041"/>
      <c r="AL13" s="1041"/>
      <c r="AM13" s="1042"/>
      <c r="AN13" s="1043"/>
      <c r="AO13" s="1043"/>
      <c r="AP13" s="1043"/>
      <c r="AQ13" s="1044"/>
      <c r="AR13" s="1044"/>
      <c r="AS13" s="1045"/>
      <c r="AT13" s="1046"/>
      <c r="AU13" s="1046"/>
      <c r="AV13" s="1047"/>
      <c r="AW13" s="1047"/>
      <c r="AX13" s="1047"/>
      <c r="AY13" s="1047"/>
      <c r="AZ13" s="1047"/>
      <c r="BA13" s="1047"/>
      <c r="BB13" s="1048"/>
      <c r="BC13" s="1049"/>
      <c r="BD13" s="1050"/>
      <c r="BE13" s="1050"/>
      <c r="BF13" s="1047"/>
      <c r="BG13" s="1047"/>
      <c r="BH13" s="1047"/>
      <c r="BI13" s="1051"/>
      <c r="BJ13" s="1047"/>
      <c r="BK13" s="1047"/>
      <c r="BL13" s="1047"/>
      <c r="BM13" s="1047"/>
      <c r="BN13" s="1052"/>
      <c r="BO13" s="1052"/>
      <c r="BP13" s="1052"/>
      <c r="BQ13" s="1035"/>
      <c r="BR13" s="1053"/>
      <c r="BS13" s="2294"/>
      <c r="BT13" s="2294"/>
      <c r="BU13" s="2294"/>
      <c r="BV13" s="1038"/>
      <c r="BW13" s="1038"/>
      <c r="BX13" s="1038"/>
      <c r="BY13" s="1038"/>
      <c r="BZ13" s="1038"/>
      <c r="CA13" s="1038"/>
      <c r="CB13" s="1038"/>
      <c r="CC13" s="1038"/>
      <c r="CD13" s="1038"/>
      <c r="CE13" s="1038"/>
      <c r="CF13" s="1038"/>
    </row>
    <row r="14" spans="2:84" ht="16.5" customHeight="1" thickBot="1">
      <c r="B14" s="2288"/>
      <c r="C14" s="2288"/>
      <c r="D14" s="2288"/>
      <c r="E14" s="2288"/>
      <c r="F14" s="2288"/>
      <c r="G14" s="2288"/>
      <c r="H14" s="2288"/>
      <c r="I14" s="2288"/>
      <c r="J14" s="2288"/>
      <c r="K14" s="2288"/>
      <c r="L14" s="2288"/>
      <c r="M14" s="2288"/>
      <c r="N14" s="2288"/>
      <c r="O14" s="2288"/>
      <c r="P14" s="2288"/>
      <c r="Q14" s="2288"/>
      <c r="R14" s="2288"/>
      <c r="S14" s="2288"/>
      <c r="T14" s="2288"/>
      <c r="U14" s="2288"/>
      <c r="V14" s="2288"/>
      <c r="W14" s="2288"/>
      <c r="X14" s="2288"/>
      <c r="Y14" s="2289"/>
      <c r="Z14" s="1054"/>
      <c r="AA14" s="1055"/>
      <c r="AB14" s="1055"/>
      <c r="AC14" s="1055"/>
      <c r="AD14" s="1055"/>
      <c r="AE14" s="1055"/>
      <c r="AF14" s="1055"/>
      <c r="AG14" s="1055"/>
      <c r="AH14" s="1055"/>
      <c r="AI14" s="1056"/>
      <c r="AJ14" s="1056"/>
      <c r="AK14" s="1056"/>
      <c r="AL14" s="1056"/>
      <c r="AM14" s="1056"/>
      <c r="AN14" s="1055"/>
      <c r="AO14" s="1055"/>
      <c r="AP14" s="1055"/>
      <c r="AQ14" s="1055"/>
      <c r="AR14" s="1055"/>
      <c r="AS14" s="1057"/>
      <c r="AT14" s="1055"/>
      <c r="AU14" s="1055"/>
      <c r="AV14" s="1057"/>
      <c r="AW14" s="1057"/>
      <c r="AX14" s="1057"/>
      <c r="AY14" s="1057"/>
      <c r="AZ14" s="1057"/>
      <c r="BA14" s="1057"/>
      <c r="BB14" s="1057"/>
      <c r="BC14" s="1057"/>
      <c r="BD14" s="1057"/>
      <c r="BE14" s="1057"/>
      <c r="BF14" s="1057"/>
      <c r="BG14" s="1057"/>
      <c r="BH14" s="1057"/>
      <c r="BI14" s="1057"/>
      <c r="BJ14" s="1057"/>
      <c r="BK14" s="1057"/>
      <c r="BL14" s="1057"/>
      <c r="BM14" s="1057"/>
      <c r="BN14" s="1058"/>
      <c r="BO14" s="1058"/>
      <c r="BP14" s="1058"/>
      <c r="BQ14" s="1059"/>
      <c r="BR14" s="1060"/>
      <c r="BS14" s="1060"/>
      <c r="BT14" s="1060"/>
      <c r="BU14" s="1061"/>
      <c r="BV14" s="1061"/>
      <c r="BW14" s="1061"/>
      <c r="BX14" s="1061"/>
      <c r="BY14" s="1061"/>
      <c r="BZ14" s="1061"/>
      <c r="CA14" s="1061"/>
      <c r="CB14" s="1061"/>
      <c r="CC14" s="1061"/>
      <c r="CD14" s="1061"/>
      <c r="CE14" s="1038"/>
      <c r="CF14" s="1038"/>
    </row>
    <row r="15" spans="2:82" s="1018" customFormat="1" ht="5.25" customHeight="1">
      <c r="B15" s="1062"/>
      <c r="C15" s="1063"/>
      <c r="D15" s="1063"/>
      <c r="E15" s="1063"/>
      <c r="F15" s="1063"/>
      <c r="G15" s="1063"/>
      <c r="H15" s="1063"/>
      <c r="I15" s="1063"/>
      <c r="J15" s="1063"/>
      <c r="K15" s="1063"/>
      <c r="L15" s="1063"/>
      <c r="M15" s="1063"/>
      <c r="N15" s="1063"/>
      <c r="O15" s="1064"/>
      <c r="P15" s="1064"/>
      <c r="Q15" s="1064"/>
      <c r="R15" s="1064"/>
      <c r="S15" s="1064"/>
      <c r="T15" s="1064"/>
      <c r="U15" s="1064"/>
      <c r="V15" s="1064"/>
      <c r="W15" s="1064"/>
      <c r="X15" s="1064"/>
      <c r="Y15" s="1064"/>
      <c r="Z15" s="1064"/>
      <c r="AA15" s="1064"/>
      <c r="AB15" s="1064"/>
      <c r="AC15" s="1064"/>
      <c r="AD15" s="1064"/>
      <c r="AE15" s="1064"/>
      <c r="AF15" s="1064"/>
      <c r="AG15" s="1064"/>
      <c r="AH15" s="1064"/>
      <c r="AI15" s="1064"/>
      <c r="AJ15" s="1064"/>
      <c r="AK15" s="1064"/>
      <c r="AL15" s="1064"/>
      <c r="AM15" s="1064"/>
      <c r="AN15" s="1064"/>
      <c r="AO15" s="1064"/>
      <c r="AP15" s="1065"/>
      <c r="AQ15" s="1065"/>
      <c r="AR15" s="1065"/>
      <c r="AS15" s="1065"/>
      <c r="AT15" s="1065"/>
      <c r="AU15" s="1065"/>
      <c r="AV15" s="1065"/>
      <c r="AW15" s="1065"/>
      <c r="AX15" s="1065"/>
      <c r="AY15" s="1065"/>
      <c r="AZ15" s="1065"/>
      <c r="BA15" s="1065"/>
      <c r="BB15" s="1065"/>
      <c r="BC15" s="1065"/>
      <c r="BD15" s="1065"/>
      <c r="BE15" s="1065"/>
      <c r="BF15" s="1065"/>
      <c r="BG15" s="1065"/>
      <c r="BH15" s="1065"/>
      <c r="BI15" s="1065"/>
      <c r="BJ15" s="1065"/>
      <c r="BK15" s="1065"/>
      <c r="BL15" s="1065"/>
      <c r="BM15" s="1065"/>
      <c r="BN15" s="1065"/>
      <c r="BO15" s="1065"/>
      <c r="BP15" s="1065"/>
      <c r="BQ15" s="1065"/>
      <c r="BR15" s="1065"/>
      <c r="BS15" s="1065"/>
      <c r="BT15" s="1065"/>
      <c r="BU15" s="1065"/>
      <c r="BV15" s="1065"/>
      <c r="BW15" s="1065"/>
      <c r="BX15" s="1065"/>
      <c r="BY15" s="1065"/>
      <c r="BZ15" s="1065"/>
      <c r="CA15" s="1065"/>
      <c r="CB15" s="1065"/>
      <c r="CC15" s="1065"/>
      <c r="CD15" s="1066"/>
    </row>
    <row r="16" spans="2:82" s="1018" customFormat="1" ht="23.15" customHeight="1">
      <c r="B16" s="1067"/>
      <c r="C16" s="1116" t="s">
        <v>768</v>
      </c>
      <c r="D16" s="1116"/>
      <c r="E16" s="1116"/>
      <c r="F16" s="1116"/>
      <c r="G16" s="1116"/>
      <c r="H16" s="1116"/>
      <c r="I16" s="1116"/>
      <c r="J16" s="1116"/>
      <c r="K16" s="1068" t="s">
        <v>26</v>
      </c>
      <c r="L16" s="2264" t="s">
        <v>1224</v>
      </c>
      <c r="M16" s="2264"/>
      <c r="N16" s="2264"/>
      <c r="O16" s="2264"/>
      <c r="P16" s="2265" t="str">
        <f>'1770 S-1 JP'!L83</f>
        <v>-</v>
      </c>
      <c r="Q16" s="2265"/>
      <c r="R16" s="2265"/>
      <c r="S16" s="2265"/>
      <c r="T16" s="2265"/>
      <c r="U16" s="2265"/>
      <c r="V16" s="2265"/>
      <c r="W16" s="2265"/>
      <c r="X16" s="2265"/>
      <c r="Y16" s="2265"/>
      <c r="Z16" s="2265"/>
      <c r="AA16" s="2265"/>
      <c r="AB16" s="2265"/>
      <c r="AC16" s="2265"/>
      <c r="AD16" s="2265"/>
      <c r="AE16" s="2265"/>
      <c r="AF16" s="2265"/>
      <c r="AG16" s="2265"/>
      <c r="AH16" s="2265"/>
      <c r="AI16" s="2265"/>
      <c r="AJ16" s="2265"/>
      <c r="AK16" s="2265"/>
      <c r="AL16" s="2265"/>
      <c r="AM16" s="2265"/>
      <c r="AN16" s="2265"/>
      <c r="AO16" s="2265"/>
      <c r="AP16" s="2265"/>
      <c r="AQ16" s="2265"/>
      <c r="AR16" s="2265"/>
      <c r="AS16" s="2265"/>
      <c r="AT16" s="2265"/>
      <c r="AU16" s="2265"/>
      <c r="AV16" s="2265"/>
      <c r="AW16" s="2265"/>
      <c r="AX16" s="2265"/>
      <c r="AY16" s="2265"/>
      <c r="AZ16" s="2265"/>
      <c r="BA16" s="2265"/>
      <c r="BB16" s="2265"/>
      <c r="BC16" s="2265"/>
      <c r="BD16" s="1069"/>
      <c r="BE16" s="1069"/>
      <c r="BF16" s="1069"/>
      <c r="BG16" s="1069"/>
      <c r="BH16" s="1069"/>
      <c r="BI16" s="1069"/>
      <c r="BJ16" s="1069"/>
      <c r="BK16" s="1069"/>
      <c r="BL16" s="1069"/>
      <c r="BM16" s="1069"/>
      <c r="BN16" s="1069"/>
      <c r="BO16" s="2266"/>
      <c r="BP16" s="2266"/>
      <c r="BQ16" s="2266"/>
      <c r="BR16" s="1070"/>
      <c r="BS16" s="1070"/>
      <c r="BT16" s="1071"/>
      <c r="BU16" s="1071"/>
      <c r="BV16" s="1071"/>
      <c r="BW16" s="1071"/>
      <c r="BX16" s="1071"/>
      <c r="BY16" s="1070"/>
      <c r="BZ16" s="1070"/>
      <c r="CA16" s="1070"/>
      <c r="CB16" s="1070"/>
      <c r="CC16" s="1070"/>
      <c r="CD16" s="1072"/>
    </row>
    <row r="17" spans="2:82" s="1018" customFormat="1" ht="6" customHeight="1">
      <c r="B17" s="1073"/>
      <c r="C17" s="1074"/>
      <c r="D17" s="1074"/>
      <c r="E17" s="1074"/>
      <c r="F17" s="1074"/>
      <c r="G17" s="1074"/>
      <c r="H17" s="1074"/>
      <c r="I17" s="1074"/>
      <c r="J17" s="1075"/>
      <c r="K17" s="1075"/>
      <c r="L17" s="1075"/>
      <c r="M17" s="1074"/>
      <c r="N17" s="1074"/>
      <c r="O17" s="1076"/>
      <c r="P17" s="1076"/>
      <c r="Q17" s="1076"/>
      <c r="R17" s="1077"/>
      <c r="S17" s="1077"/>
      <c r="T17" s="1077"/>
      <c r="U17" s="1077"/>
      <c r="V17" s="1077"/>
      <c r="W17" s="1077"/>
      <c r="X17" s="1077"/>
      <c r="Y17" s="1077"/>
      <c r="Z17" s="1077"/>
      <c r="AA17" s="1077"/>
      <c r="AB17" s="1077"/>
      <c r="AC17" s="1077"/>
      <c r="AD17" s="1077"/>
      <c r="AE17" s="1077"/>
      <c r="AF17" s="1077"/>
      <c r="AG17" s="1077"/>
      <c r="AH17" s="1077"/>
      <c r="AI17" s="1077"/>
      <c r="AJ17" s="1077"/>
      <c r="AK17" s="1077"/>
      <c r="AL17" s="1077"/>
      <c r="AM17" s="1077"/>
      <c r="AN17" s="1077"/>
      <c r="AO17" s="1077"/>
      <c r="AP17" s="1070"/>
      <c r="AQ17" s="1070"/>
      <c r="AR17" s="1070"/>
      <c r="AS17" s="1070"/>
      <c r="AT17" s="1070"/>
      <c r="AU17" s="1070"/>
      <c r="AV17" s="1070"/>
      <c r="AW17" s="1070"/>
      <c r="AX17" s="1070"/>
      <c r="AY17" s="1070"/>
      <c r="AZ17" s="1070"/>
      <c r="BA17" s="1070"/>
      <c r="BB17" s="1070"/>
      <c r="BC17" s="1070"/>
      <c r="BD17" s="1070"/>
      <c r="BE17" s="1070"/>
      <c r="BF17" s="1070"/>
      <c r="BG17" s="1070"/>
      <c r="BH17" s="1070"/>
      <c r="BI17" s="1070"/>
      <c r="BJ17" s="1070"/>
      <c r="BK17" s="1070"/>
      <c r="BL17" s="1070"/>
      <c r="BM17" s="1070"/>
      <c r="BN17" s="1070"/>
      <c r="BO17" s="1070"/>
      <c r="BP17" s="1070"/>
      <c r="BQ17" s="1070"/>
      <c r="BR17" s="1070"/>
      <c r="BS17" s="1070"/>
      <c r="BT17" s="1070"/>
      <c r="BU17" s="1070"/>
      <c r="BV17" s="1070"/>
      <c r="BW17" s="1070"/>
      <c r="BX17" s="1070"/>
      <c r="BY17" s="1070"/>
      <c r="BZ17" s="1070"/>
      <c r="CA17" s="1070"/>
      <c r="CB17" s="1070"/>
      <c r="CC17" s="1070"/>
      <c r="CD17" s="1072"/>
    </row>
    <row r="18" spans="2:84" s="1018" customFormat="1" ht="23.15" customHeight="1">
      <c r="B18" s="1067"/>
      <c r="C18" s="1113" t="s">
        <v>769</v>
      </c>
      <c r="D18" s="2267"/>
      <c r="E18" s="2267"/>
      <c r="F18" s="2267"/>
      <c r="G18" s="2267"/>
      <c r="H18" s="2267"/>
      <c r="I18" s="2267"/>
      <c r="J18" s="2267"/>
      <c r="K18" s="1078" t="s">
        <v>26</v>
      </c>
      <c r="L18" s="2268" t="s">
        <v>1225</v>
      </c>
      <c r="M18" s="2268"/>
      <c r="N18" s="2268"/>
      <c r="O18" s="2268"/>
      <c r="P18" s="2257" t="str">
        <f>'1770 S-1 JP'!C83</f>
        <v>-</v>
      </c>
      <c r="Q18" s="2257"/>
      <c r="R18" s="2257"/>
      <c r="S18" s="2257"/>
      <c r="T18" s="2257"/>
      <c r="U18" s="2257"/>
      <c r="V18" s="2257"/>
      <c r="W18" s="2257"/>
      <c r="X18" s="2257"/>
      <c r="Y18" s="2257"/>
      <c r="Z18" s="2257"/>
      <c r="AA18" s="2257"/>
      <c r="AB18" s="2257"/>
      <c r="AC18" s="2257"/>
      <c r="AD18" s="2257"/>
      <c r="AE18" s="2257"/>
      <c r="AF18" s="2257"/>
      <c r="AG18" s="2257"/>
      <c r="AH18" s="2257"/>
      <c r="AI18" s="2257"/>
      <c r="AJ18" s="2257"/>
      <c r="AK18" s="2257"/>
      <c r="AL18" s="2257"/>
      <c r="AM18" s="2257"/>
      <c r="AN18" s="2257"/>
      <c r="AO18" s="2257"/>
      <c r="AP18" s="2257"/>
      <c r="AQ18" s="2257"/>
      <c r="AR18" s="2257"/>
      <c r="AS18" s="2257"/>
      <c r="AT18" s="2257"/>
      <c r="AU18" s="2257"/>
      <c r="AV18" s="2257"/>
      <c r="AW18" s="2257"/>
      <c r="AX18" s="2257"/>
      <c r="AY18" s="2257"/>
      <c r="AZ18" s="2257"/>
      <c r="BA18" s="2257"/>
      <c r="BB18" s="2257"/>
      <c r="BC18" s="2257"/>
      <c r="BD18" s="2257"/>
      <c r="BE18" s="2257"/>
      <c r="BF18" s="2257"/>
      <c r="BG18" s="2257"/>
      <c r="BH18" s="2257"/>
      <c r="BI18" s="2257"/>
      <c r="BJ18" s="2257"/>
      <c r="BK18" s="2257"/>
      <c r="BL18" s="2257"/>
      <c r="BM18" s="2257"/>
      <c r="BN18" s="2257"/>
      <c r="BO18" s="2257"/>
      <c r="BP18" s="2257"/>
      <c r="BQ18" s="2257"/>
      <c r="BR18" s="2257"/>
      <c r="BS18" s="2257"/>
      <c r="BT18" s="2257"/>
      <c r="BU18" s="2257"/>
      <c r="BV18" s="2257"/>
      <c r="BW18" s="2257"/>
      <c r="BX18" s="2257"/>
      <c r="BY18" s="2257"/>
      <c r="BZ18" s="2257"/>
      <c r="CA18" s="2257"/>
      <c r="CB18" s="2257"/>
      <c r="CC18" s="2257"/>
      <c r="CD18" s="1079"/>
      <c r="CE18" s="1080"/>
      <c r="CF18" s="1080"/>
    </row>
    <row r="19" spans="2:84" s="1018" customFormat="1" ht="9" customHeight="1" thickBot="1">
      <c r="B19" s="1081"/>
      <c r="C19" s="1082"/>
      <c r="D19" s="1083"/>
      <c r="E19" s="1083"/>
      <c r="F19" s="1083"/>
      <c r="G19" s="1083"/>
      <c r="H19" s="1083"/>
      <c r="I19" s="1083"/>
      <c r="J19" s="1084"/>
      <c r="K19" s="1084"/>
      <c r="L19" s="1084"/>
      <c r="M19" s="1083"/>
      <c r="N19" s="1085"/>
      <c r="O19" s="1085"/>
      <c r="P19" s="1085"/>
      <c r="Q19" s="1085"/>
      <c r="R19" s="1086"/>
      <c r="S19" s="1086"/>
      <c r="T19" s="1086"/>
      <c r="U19" s="1086"/>
      <c r="V19" s="1086"/>
      <c r="W19" s="1086"/>
      <c r="X19" s="1086"/>
      <c r="Y19" s="1086"/>
      <c r="Z19" s="1086"/>
      <c r="AA19" s="1086"/>
      <c r="AB19" s="1086"/>
      <c r="AC19" s="1086"/>
      <c r="AD19" s="1086"/>
      <c r="AE19" s="1086"/>
      <c r="AF19" s="1086"/>
      <c r="AG19" s="1086"/>
      <c r="AH19" s="1086"/>
      <c r="AI19" s="1086"/>
      <c r="AJ19" s="1086"/>
      <c r="AK19" s="1086"/>
      <c r="AL19" s="1086"/>
      <c r="AM19" s="1086"/>
      <c r="AN19" s="1086"/>
      <c r="AO19" s="1086"/>
      <c r="AP19" s="1086"/>
      <c r="AQ19" s="1086"/>
      <c r="AR19" s="1086"/>
      <c r="AS19" s="1086"/>
      <c r="AT19" s="1086"/>
      <c r="AU19" s="1086"/>
      <c r="AV19" s="1086"/>
      <c r="AW19" s="1086"/>
      <c r="AX19" s="1086"/>
      <c r="AY19" s="1086"/>
      <c r="AZ19" s="1086"/>
      <c r="BA19" s="1086"/>
      <c r="BB19" s="1086"/>
      <c r="BC19" s="1086"/>
      <c r="BD19" s="1086"/>
      <c r="BE19" s="1086"/>
      <c r="BF19" s="1086"/>
      <c r="BG19" s="1086"/>
      <c r="BH19" s="1086"/>
      <c r="BI19" s="1086"/>
      <c r="BJ19" s="1086"/>
      <c r="BK19" s="1086"/>
      <c r="BL19" s="1086"/>
      <c r="BM19" s="1086"/>
      <c r="BN19" s="1086"/>
      <c r="BO19" s="1086"/>
      <c r="BP19" s="1086"/>
      <c r="BQ19" s="1086"/>
      <c r="BR19" s="1086"/>
      <c r="BS19" s="1086"/>
      <c r="BT19" s="1086"/>
      <c r="BU19" s="1086"/>
      <c r="BV19" s="1086"/>
      <c r="BW19" s="1086"/>
      <c r="BX19" s="1086"/>
      <c r="BY19" s="1086"/>
      <c r="BZ19" s="1086"/>
      <c r="CA19" s="1086"/>
      <c r="CB19" s="1086"/>
      <c r="CC19" s="1086"/>
      <c r="CD19" s="1087"/>
      <c r="CE19" s="1080"/>
      <c r="CF19" s="1080"/>
    </row>
    <row r="20" spans="2:84" s="1018" customFormat="1" ht="9" customHeight="1">
      <c r="B20" s="1088"/>
      <c r="C20" s="1088"/>
      <c r="D20" s="1089"/>
      <c r="E20" s="1089"/>
      <c r="F20" s="1089"/>
      <c r="G20" s="1089"/>
      <c r="H20" s="1089"/>
      <c r="I20" s="1088"/>
      <c r="J20" s="1090"/>
      <c r="K20" s="1090"/>
      <c r="L20" s="1091"/>
      <c r="M20" s="1092"/>
      <c r="N20" s="1093"/>
      <c r="O20" s="1093"/>
      <c r="P20" s="1093"/>
      <c r="Q20" s="1093"/>
      <c r="R20" s="1094"/>
      <c r="S20" s="1094"/>
      <c r="T20" s="1094"/>
      <c r="U20" s="1094"/>
      <c r="V20" s="1094"/>
      <c r="W20" s="1094"/>
      <c r="X20" s="1094"/>
      <c r="Y20" s="1094"/>
      <c r="Z20" s="1094"/>
      <c r="AA20" s="1094"/>
      <c r="AB20" s="1094"/>
      <c r="AC20" s="1094"/>
      <c r="AD20" s="1094"/>
      <c r="AE20" s="1094"/>
      <c r="AF20" s="1094"/>
      <c r="AG20" s="1094"/>
      <c r="AH20" s="1094"/>
      <c r="AI20" s="1094"/>
      <c r="AJ20" s="1094"/>
      <c r="AK20" s="1094"/>
      <c r="AL20" s="1094"/>
      <c r="AM20" s="1094"/>
      <c r="AN20" s="1094"/>
      <c r="AO20" s="1094"/>
      <c r="AP20" s="1094"/>
      <c r="AQ20" s="1094"/>
      <c r="AR20" s="1094"/>
      <c r="AS20" s="1094"/>
      <c r="AT20" s="1094"/>
      <c r="AU20" s="1094"/>
      <c r="AV20" s="1094"/>
      <c r="AW20" s="1094"/>
      <c r="AX20" s="1094"/>
      <c r="AY20" s="1094"/>
      <c r="AZ20" s="1094"/>
      <c r="BA20" s="1094"/>
      <c r="BB20" s="1094"/>
      <c r="BC20" s="1094"/>
      <c r="BD20" s="1094"/>
      <c r="BE20" s="1094"/>
      <c r="BF20" s="1094"/>
      <c r="BG20" s="1094"/>
      <c r="BH20" s="1094"/>
      <c r="BI20" s="1094"/>
      <c r="BJ20" s="1094"/>
      <c r="BK20" s="1094"/>
      <c r="BL20" s="1094"/>
      <c r="BM20" s="1094"/>
      <c r="BN20" s="1094"/>
      <c r="BO20" s="1094"/>
      <c r="BP20" s="1094"/>
      <c r="BQ20" s="1094"/>
      <c r="BR20" s="1094"/>
      <c r="BS20" s="1094"/>
      <c r="BT20" s="1094"/>
      <c r="BU20" s="1094"/>
      <c r="BV20" s="1094"/>
      <c r="BW20" s="1094"/>
      <c r="BX20" s="1094"/>
      <c r="BY20" s="1094"/>
      <c r="BZ20" s="1094"/>
      <c r="CA20" s="1094"/>
      <c r="CB20" s="1094"/>
      <c r="CC20" s="1094"/>
      <c r="CD20" s="1095"/>
      <c r="CE20" s="1080"/>
      <c r="CF20" s="1080"/>
    </row>
    <row r="21" spans="2:84">
      <c r="B21" s="2261" t="s">
        <v>1226</v>
      </c>
      <c r="C21" s="2261"/>
      <c r="D21" s="2261"/>
      <c r="E21" s="2261"/>
      <c r="F21" s="2261"/>
      <c r="G21" s="2261"/>
      <c r="H21" s="2261"/>
      <c r="I21" s="2261"/>
      <c r="J21" s="2261"/>
      <c r="K21" s="2261"/>
      <c r="L21" s="2261"/>
      <c r="M21" s="2261"/>
      <c r="N21" s="2261"/>
      <c r="O21" s="2261"/>
      <c r="P21" s="2261"/>
      <c r="Q21" s="2261"/>
      <c r="R21" s="2261"/>
      <c r="S21" s="2261"/>
      <c r="T21" s="2261"/>
      <c r="U21" s="2261"/>
      <c r="V21" s="2261"/>
      <c r="W21" s="2261"/>
      <c r="X21" s="2261"/>
      <c r="Y21" s="2261"/>
      <c r="Z21" s="2261"/>
      <c r="AA21" s="2261"/>
      <c r="AB21" s="2261"/>
      <c r="AC21" s="2261"/>
      <c r="AD21" s="2261"/>
      <c r="AE21" s="2261"/>
      <c r="AF21" s="2261"/>
      <c r="AG21" s="2261"/>
      <c r="AH21" s="2261"/>
      <c r="AI21" s="2261"/>
      <c r="AJ21" s="2261"/>
      <c r="AK21" s="2261"/>
      <c r="AL21" s="2261"/>
      <c r="AM21" s="2261"/>
      <c r="AN21" s="2261"/>
      <c r="AO21" s="2261"/>
      <c r="AP21" s="2261"/>
      <c r="AQ21" s="2261"/>
      <c r="AR21" s="2261"/>
      <c r="AS21" s="2261"/>
      <c r="AT21" s="2261"/>
      <c r="AU21" s="2261"/>
      <c r="AV21" s="2261"/>
      <c r="AW21" s="2261"/>
      <c r="AX21" s="2261"/>
      <c r="AY21" s="2261"/>
      <c r="AZ21" s="2261"/>
      <c r="BA21" s="2261"/>
      <c r="BB21" s="2261"/>
      <c r="BC21" s="2261"/>
      <c r="BD21" s="2261"/>
      <c r="BE21" s="2261"/>
      <c r="BF21" s="2261"/>
      <c r="BG21" s="2261"/>
      <c r="BH21" s="2261"/>
      <c r="BI21" s="2261"/>
      <c r="BJ21" s="2261"/>
      <c r="BK21" s="2261"/>
      <c r="BL21" s="2261"/>
      <c r="BM21" s="2261"/>
      <c r="BN21" s="2261"/>
      <c r="BO21" s="2261"/>
      <c r="BP21" s="2261"/>
      <c r="BQ21" s="2261"/>
      <c r="BR21" s="2261"/>
      <c r="BS21" s="2261"/>
      <c r="BT21" s="2261"/>
      <c r="BU21" s="2261"/>
      <c r="BV21" s="2261"/>
      <c r="BW21" s="2261"/>
      <c r="BX21" s="2261"/>
      <c r="BY21" s="2261"/>
      <c r="BZ21" s="2261"/>
      <c r="CA21" s="2261"/>
      <c r="CB21" s="2261"/>
      <c r="CC21" s="2261"/>
      <c r="CD21" s="2261"/>
      <c r="CE21" s="1028"/>
      <c r="CF21" s="1028"/>
    </row>
    <row r="22" spans="2:84" ht="3.75" customHeight="1" thickBot="1">
      <c r="B22" s="1096"/>
      <c r="C22" s="1096"/>
      <c r="D22" s="1096"/>
      <c r="E22" s="1096"/>
      <c r="F22" s="1096"/>
      <c r="G22" s="1096"/>
      <c r="H22" s="1096"/>
      <c r="I22" s="1096"/>
      <c r="J22" s="1096"/>
      <c r="K22" s="1096"/>
      <c r="L22" s="1096"/>
      <c r="M22" s="1096"/>
      <c r="N22" s="1096"/>
      <c r="O22" s="1096"/>
      <c r="P22" s="1096"/>
      <c r="Q22" s="1096"/>
      <c r="R22" s="1096"/>
      <c r="S22" s="1096"/>
      <c r="T22" s="1096"/>
      <c r="U22" s="1096"/>
      <c r="V22" s="1096"/>
      <c r="W22" s="1096"/>
      <c r="X22" s="1096"/>
      <c r="Y22" s="1096"/>
      <c r="Z22" s="1096"/>
      <c r="AA22" s="1096"/>
      <c r="AB22" s="1096"/>
      <c r="AC22" s="1096"/>
      <c r="AD22" s="1096"/>
      <c r="AE22" s="1096"/>
      <c r="AF22" s="1096"/>
      <c r="AG22" s="1096"/>
      <c r="AH22" s="1096"/>
      <c r="AI22" s="1096"/>
      <c r="AJ22" s="1096"/>
      <c r="AK22" s="1096"/>
      <c r="AL22" s="1096"/>
      <c r="AM22" s="1096"/>
      <c r="AN22" s="1096"/>
      <c r="AO22" s="1096"/>
      <c r="AP22" s="1096"/>
      <c r="AQ22" s="1096"/>
      <c r="AR22" s="1096"/>
      <c r="AS22" s="1096"/>
      <c r="AT22" s="1096"/>
      <c r="AU22" s="1096"/>
      <c r="AV22" s="1096"/>
      <c r="AW22" s="1096"/>
      <c r="AX22" s="1096"/>
      <c r="AY22" s="1096"/>
      <c r="AZ22" s="1096"/>
      <c r="BA22" s="1096"/>
      <c r="BB22" s="1096"/>
      <c r="BC22" s="1096"/>
      <c r="BD22" s="1096"/>
      <c r="BE22" s="1096"/>
      <c r="BF22" s="1096"/>
      <c r="BG22" s="1096"/>
      <c r="BH22" s="1096"/>
      <c r="BI22" s="1096"/>
      <c r="BJ22" s="1096"/>
      <c r="BK22" s="1096"/>
      <c r="BL22" s="1096"/>
      <c r="BM22" s="1096"/>
      <c r="BN22" s="1096"/>
      <c r="BO22" s="1096"/>
      <c r="BP22" s="1096"/>
      <c r="BQ22" s="1096"/>
      <c r="BR22" s="1096"/>
      <c r="BS22" s="1096"/>
      <c r="BT22" s="1096"/>
      <c r="BU22" s="1096"/>
      <c r="BV22" s="1096"/>
      <c r="BW22" s="1096"/>
      <c r="BX22" s="1096"/>
      <c r="BY22" s="1096"/>
      <c r="BZ22" s="1096"/>
      <c r="CA22" s="1096"/>
      <c r="CB22" s="1096"/>
      <c r="CC22" s="1096"/>
      <c r="CD22" s="1096"/>
      <c r="CE22" s="1028"/>
      <c r="CF22" s="1028"/>
    </row>
    <row r="23" spans="2:82" s="1018" customFormat="1" ht="9" customHeight="1">
      <c r="B23" s="1062"/>
      <c r="C23" s="1063"/>
      <c r="D23" s="1063"/>
      <c r="E23" s="1063"/>
      <c r="F23" s="1063"/>
      <c r="G23" s="1063"/>
      <c r="H23" s="1063"/>
      <c r="I23" s="1063"/>
      <c r="J23" s="1063"/>
      <c r="K23" s="1063"/>
      <c r="L23" s="1063"/>
      <c r="M23" s="1063"/>
      <c r="N23" s="1063"/>
      <c r="O23" s="1064"/>
      <c r="P23" s="1064"/>
      <c r="Q23" s="1064"/>
      <c r="R23" s="1064"/>
      <c r="S23" s="1064"/>
      <c r="T23" s="1064"/>
      <c r="U23" s="1064"/>
      <c r="V23" s="1064"/>
      <c r="W23" s="1064"/>
      <c r="X23" s="1064"/>
      <c r="Y23" s="1064"/>
      <c r="Z23" s="1064"/>
      <c r="AA23" s="1064"/>
      <c r="AB23" s="1064"/>
      <c r="AC23" s="1064"/>
      <c r="AD23" s="1064"/>
      <c r="AE23" s="1064"/>
      <c r="AF23" s="1064"/>
      <c r="AG23" s="1064"/>
      <c r="AH23" s="1064"/>
      <c r="AI23" s="1064"/>
      <c r="AJ23" s="1064"/>
      <c r="AK23" s="1064"/>
      <c r="AL23" s="1064"/>
      <c r="AM23" s="1064"/>
      <c r="AN23" s="1064"/>
      <c r="AO23" s="1064"/>
      <c r="AP23" s="1065"/>
      <c r="AQ23" s="1065"/>
      <c r="AR23" s="1065"/>
      <c r="AS23" s="1065"/>
      <c r="AT23" s="1065"/>
      <c r="AU23" s="1065"/>
      <c r="AV23" s="1065"/>
      <c r="AW23" s="1065"/>
      <c r="AX23" s="1065"/>
      <c r="AY23" s="1065"/>
      <c r="AZ23" s="1065"/>
      <c r="BA23" s="1065"/>
      <c r="BB23" s="1065"/>
      <c r="BC23" s="1065"/>
      <c r="BD23" s="1065"/>
      <c r="BE23" s="1065"/>
      <c r="BF23" s="1065"/>
      <c r="BG23" s="1065"/>
      <c r="BH23" s="1065"/>
      <c r="BI23" s="1065"/>
      <c r="BJ23" s="1065"/>
      <c r="BK23" s="1065"/>
      <c r="BL23" s="1065"/>
      <c r="BM23" s="1065"/>
      <c r="BN23" s="1065"/>
      <c r="BO23" s="1065"/>
      <c r="BP23" s="1065"/>
      <c r="BQ23" s="1065"/>
      <c r="BR23" s="1065"/>
      <c r="BS23" s="1065"/>
      <c r="BT23" s="1065"/>
      <c r="BU23" s="1065"/>
      <c r="BV23" s="1065"/>
      <c r="BW23" s="1065"/>
      <c r="BX23" s="1065"/>
      <c r="BY23" s="1065"/>
      <c r="BZ23" s="1065"/>
      <c r="CA23" s="1065"/>
      <c r="CB23" s="1065"/>
      <c r="CC23" s="1065"/>
      <c r="CD23" s="1066"/>
    </row>
    <row r="24" spans="2:82" s="1018" customFormat="1" ht="15.75" customHeight="1">
      <c r="B24" s="2247" t="s">
        <v>386</v>
      </c>
      <c r="C24" s="2248"/>
      <c r="D24" s="2249" t="s">
        <v>771</v>
      </c>
      <c r="E24" s="2249"/>
      <c r="F24" s="2249"/>
      <c r="G24" s="2249"/>
      <c r="H24" s="2249"/>
      <c r="I24" s="1097" t="s">
        <v>26</v>
      </c>
      <c r="J24" s="2250" t="s">
        <v>1227</v>
      </c>
      <c r="K24" s="2250"/>
      <c r="L24" s="2262" t="str">
        <f>npwp</f>
        <v>...-.</v>
      </c>
      <c r="M24" s="2262"/>
      <c r="N24" s="2262"/>
      <c r="O24" s="2262"/>
      <c r="P24" s="2262"/>
      <c r="Q24" s="2262"/>
      <c r="R24" s="2262"/>
      <c r="S24" s="2262"/>
      <c r="T24" s="2262"/>
      <c r="U24" s="2262"/>
      <c r="V24" s="2262"/>
      <c r="W24" s="2262"/>
      <c r="X24" s="2262"/>
      <c r="Y24" s="2262"/>
      <c r="Z24" s="2262"/>
      <c r="AA24" s="2262"/>
      <c r="AB24" s="2262"/>
      <c r="AC24" s="2262"/>
      <c r="AD24" s="2262"/>
      <c r="AE24" s="2262"/>
      <c r="AF24" s="2262"/>
      <c r="AG24" s="2262"/>
      <c r="AH24" s="2262"/>
      <c r="AI24" s="2262"/>
      <c r="AJ24" s="2262"/>
      <c r="AK24" s="2262"/>
      <c r="AL24" s="2262"/>
      <c r="AM24" s="2262"/>
      <c r="AN24" s="2262"/>
      <c r="AO24" s="2262"/>
      <c r="AP24" s="2262"/>
      <c r="AQ24" s="2262"/>
      <c r="AR24" s="2262"/>
      <c r="AS24" s="2262"/>
      <c r="AT24" s="2262"/>
      <c r="AU24" s="2262"/>
      <c r="AV24" s="2262"/>
      <c r="AW24" s="2262"/>
      <c r="AX24" s="1098"/>
      <c r="AY24" s="1099"/>
      <c r="AZ24" s="2251" t="s">
        <v>391</v>
      </c>
      <c r="BA24" s="2251"/>
      <c r="BB24" s="2251"/>
      <c r="BC24" s="1113" t="s">
        <v>1307</v>
      </c>
      <c r="BD24" s="1113"/>
      <c r="BE24" s="1113"/>
      <c r="BF24" s="1113"/>
      <c r="BG24" s="1113"/>
      <c r="BH24" s="1113"/>
      <c r="BI24" s="1113"/>
      <c r="BJ24" s="1113"/>
      <c r="BK24" s="1113"/>
      <c r="BL24" s="1113"/>
      <c r="BM24" s="1113"/>
      <c r="BN24" s="1113"/>
      <c r="BO24" s="1113"/>
      <c r="BP24" s="1113"/>
      <c r="BQ24" s="1113"/>
      <c r="BR24" s="1113"/>
      <c r="BS24" s="1113"/>
      <c r="BT24" s="1113"/>
      <c r="BU24" s="1113"/>
      <c r="BV24" s="1113"/>
      <c r="BW24" s="1113"/>
      <c r="BX24" s="1113"/>
      <c r="BY24" s="1113"/>
      <c r="BZ24" s="1113"/>
      <c r="CA24" s="1113"/>
      <c r="CB24" s="1113"/>
      <c r="CC24" s="1113"/>
      <c r="CD24" s="2263"/>
    </row>
    <row r="25" spans="2:82" s="1018" customFormat="1" ht="6" customHeight="1">
      <c r="B25" s="1100"/>
      <c r="C25" s="1101"/>
      <c r="D25" s="1101"/>
      <c r="E25" s="1101"/>
      <c r="F25" s="1101"/>
      <c r="G25" s="1101"/>
      <c r="H25" s="1101"/>
      <c r="I25" s="1101"/>
      <c r="J25" s="1101"/>
      <c r="K25" s="1101"/>
      <c r="L25" s="1101"/>
      <c r="M25" s="1101"/>
      <c r="N25" s="1101"/>
      <c r="O25" s="1102"/>
      <c r="P25" s="1102"/>
      <c r="Q25" s="1102"/>
      <c r="R25" s="1103"/>
      <c r="S25" s="1103"/>
      <c r="T25" s="1103"/>
      <c r="U25" s="1103"/>
      <c r="V25" s="1103"/>
      <c r="W25" s="1103"/>
      <c r="X25" s="1103"/>
      <c r="Y25" s="1103"/>
      <c r="Z25" s="1103"/>
      <c r="AA25" s="1103"/>
      <c r="AB25" s="1103"/>
      <c r="AC25" s="1103"/>
      <c r="AD25" s="1103"/>
      <c r="AE25" s="1103"/>
      <c r="AF25" s="1103"/>
      <c r="AG25" s="1103"/>
      <c r="AH25" s="1103"/>
      <c r="AI25" s="1103"/>
      <c r="AJ25" s="1103"/>
      <c r="AK25" s="1103"/>
      <c r="AL25" s="1103"/>
      <c r="AM25" s="1103"/>
      <c r="AN25" s="1103"/>
      <c r="AO25" s="1103"/>
      <c r="AP25" s="1104"/>
      <c r="AQ25" s="1104"/>
      <c r="AR25" s="1104"/>
      <c r="AS25" s="1104"/>
      <c r="AT25" s="1104"/>
      <c r="AU25" s="1104"/>
      <c r="AV25" s="1104"/>
      <c r="AW25" s="1104"/>
      <c r="AX25" s="1070"/>
      <c r="AY25" s="1070"/>
      <c r="AZ25" s="1104"/>
      <c r="BA25" s="1104"/>
      <c r="BB25" s="1104"/>
      <c r="BC25" s="1152"/>
      <c r="BD25" s="1152"/>
      <c r="BE25" s="1152"/>
      <c r="BF25" s="1152"/>
      <c r="BG25" s="1152"/>
      <c r="BH25" s="1152"/>
      <c r="BI25" s="1152"/>
      <c r="BJ25" s="1152"/>
      <c r="BK25" s="1152"/>
      <c r="BL25" s="1152"/>
      <c r="BM25" s="1152"/>
      <c r="BN25" s="1152"/>
      <c r="BO25" s="1152"/>
      <c r="BP25" s="1152"/>
      <c r="BQ25" s="1152"/>
      <c r="BR25" s="1152"/>
      <c r="BS25" s="1152"/>
      <c r="BT25" s="1152"/>
      <c r="BU25" s="1152"/>
      <c r="BV25" s="1152"/>
      <c r="BW25" s="1152"/>
      <c r="BX25" s="1152"/>
      <c r="BY25" s="1152"/>
      <c r="BZ25" s="1152"/>
      <c r="CA25" s="1152"/>
      <c r="CB25" s="1152"/>
      <c r="CC25" s="1152"/>
      <c r="CD25" s="1153"/>
    </row>
    <row r="26" spans="2:84" s="1018" customFormat="1" ht="15.75" customHeight="1">
      <c r="B26" s="1108" t="s">
        <v>387</v>
      </c>
      <c r="C26" s="1109"/>
      <c r="D26" s="2259" t="s">
        <v>1228</v>
      </c>
      <c r="E26" s="2259"/>
      <c r="F26" s="2259"/>
      <c r="G26" s="2259"/>
      <c r="H26" s="2259"/>
      <c r="I26" s="1109" t="s">
        <v>26</v>
      </c>
      <c r="J26" s="2230" t="s">
        <v>1229</v>
      </c>
      <c r="K26" s="2230"/>
      <c r="L26" s="2230"/>
      <c r="M26" s="2230"/>
      <c r="N26" s="2230"/>
      <c r="O26" s="2230"/>
      <c r="P26" s="2230"/>
      <c r="Q26" s="2230"/>
      <c r="R26" s="2230"/>
      <c r="S26" s="2230"/>
      <c r="T26" s="2230"/>
      <c r="U26" s="2230"/>
      <c r="V26" s="2230"/>
      <c r="W26" s="2230"/>
      <c r="X26" s="2230"/>
      <c r="Y26" s="2230"/>
      <c r="Z26" s="2230"/>
      <c r="AA26" s="2230"/>
      <c r="AB26" s="2230"/>
      <c r="AC26" s="2230"/>
      <c r="AD26" s="2230"/>
      <c r="AE26" s="2230"/>
      <c r="AF26" s="2230"/>
      <c r="AG26" s="2230"/>
      <c r="AH26" s="2230"/>
      <c r="AI26" s="2230"/>
      <c r="AJ26" s="2230"/>
      <c r="AK26" s="2230"/>
      <c r="AL26" s="2230"/>
      <c r="AM26" s="2230"/>
      <c r="AN26" s="2230"/>
      <c r="AO26" s="2230"/>
      <c r="AP26" s="2230"/>
      <c r="AQ26" s="2230"/>
      <c r="AR26" s="2230"/>
      <c r="AS26" s="2230"/>
      <c r="AT26" s="2230"/>
      <c r="AU26" s="2230"/>
      <c r="AV26" s="2230"/>
      <c r="AW26" s="2230"/>
      <c r="AX26" s="1094"/>
      <c r="AY26" s="1094"/>
      <c r="AZ26" s="1106"/>
      <c r="BA26" s="1106"/>
      <c r="BB26" s="1106"/>
      <c r="BC26" s="1151" t="s">
        <v>466</v>
      </c>
      <c r="BD26" s="1151"/>
      <c r="BE26" s="2252" t="str">
        <f>'1770S JP'!T49</f>
        <v/>
      </c>
      <c r="BF26" s="2252"/>
      <c r="BG26" s="2252"/>
      <c r="BH26" s="2252"/>
      <c r="BI26" s="1151"/>
      <c r="BJ26" s="1151"/>
      <c r="BK26" s="1151"/>
      <c r="BL26" s="1151" t="s">
        <v>467</v>
      </c>
      <c r="BM26" s="1151"/>
      <c r="BN26" s="2252" t="str">
        <f>'1770S JP'!P49</f>
        <v/>
      </c>
      <c r="BO26" s="2252"/>
      <c r="BP26" s="2252"/>
      <c r="BQ26" s="1151"/>
      <c r="BR26" s="1151"/>
      <c r="BS26" s="1151"/>
      <c r="BT26" s="1151" t="s">
        <v>1230</v>
      </c>
      <c r="BU26" s="1151"/>
      <c r="BV26" s="2254" t="str">
        <f>'1770S JP'!X49</f>
        <v/>
      </c>
      <c r="BW26" s="2254"/>
      <c r="BX26" s="2254"/>
      <c r="BY26" s="1151"/>
      <c r="BZ26" s="1151"/>
      <c r="CA26" s="1151"/>
      <c r="CB26" s="1151"/>
      <c r="CC26" s="1151"/>
      <c r="CD26" s="1154"/>
      <c r="CE26" s="1080"/>
      <c r="CF26" s="1080"/>
    </row>
    <row r="27" spans="2:84" s="1018" customFormat="1" ht="9" customHeight="1">
      <c r="B27" s="1108"/>
      <c r="C27" s="1109"/>
      <c r="D27" s="2259"/>
      <c r="E27" s="2259"/>
      <c r="F27" s="2259"/>
      <c r="G27" s="2259"/>
      <c r="H27" s="2259"/>
      <c r="I27" s="1109"/>
      <c r="J27" s="2230"/>
      <c r="K27" s="2230"/>
      <c r="L27" s="2260"/>
      <c r="M27" s="2260"/>
      <c r="N27" s="2260"/>
      <c r="O27" s="2260"/>
      <c r="P27" s="2260"/>
      <c r="Q27" s="2260"/>
      <c r="R27" s="2260"/>
      <c r="S27" s="2260"/>
      <c r="T27" s="2260"/>
      <c r="U27" s="2260"/>
      <c r="V27" s="2260"/>
      <c r="W27" s="2260"/>
      <c r="X27" s="2260"/>
      <c r="Y27" s="2260"/>
      <c r="Z27" s="2260"/>
      <c r="AA27" s="2260"/>
      <c r="AB27" s="2260"/>
      <c r="AC27" s="2260"/>
      <c r="AD27" s="2260"/>
      <c r="AE27" s="2260"/>
      <c r="AF27" s="2260"/>
      <c r="AG27" s="2260"/>
      <c r="AH27" s="2260"/>
      <c r="AI27" s="2260"/>
      <c r="AJ27" s="2260"/>
      <c r="AK27" s="2260"/>
      <c r="AL27" s="2260"/>
      <c r="AM27" s="2260"/>
      <c r="AN27" s="2260"/>
      <c r="AO27" s="2260"/>
      <c r="AP27" s="2260"/>
      <c r="AQ27" s="2260"/>
      <c r="AR27" s="2260"/>
      <c r="AS27" s="2260"/>
      <c r="AT27" s="2260"/>
      <c r="AU27" s="2260"/>
      <c r="AV27" s="2260"/>
      <c r="AW27" s="2260"/>
      <c r="AX27" s="1094"/>
      <c r="AY27" s="1094"/>
      <c r="AZ27" s="1106"/>
      <c r="BA27" s="1106"/>
      <c r="BB27" s="1106"/>
      <c r="BC27" s="1151"/>
      <c r="BD27" s="1151"/>
      <c r="BE27" s="2253"/>
      <c r="BF27" s="2253"/>
      <c r="BG27" s="2253"/>
      <c r="BH27" s="2253"/>
      <c r="BI27" s="1151" t="s">
        <v>1231</v>
      </c>
      <c r="BJ27" s="1151"/>
      <c r="BK27" s="1151"/>
      <c r="BL27" s="1151"/>
      <c r="BM27" s="1151"/>
      <c r="BN27" s="2253"/>
      <c r="BO27" s="2253"/>
      <c r="BP27" s="2253"/>
      <c r="BQ27" s="1151" t="s">
        <v>1232</v>
      </c>
      <c r="BR27" s="1151"/>
      <c r="BS27" s="1151"/>
      <c r="BT27" s="1151"/>
      <c r="BU27" s="1151"/>
      <c r="BV27" s="2255"/>
      <c r="BW27" s="2255"/>
      <c r="BX27" s="2255"/>
      <c r="BY27" s="1151" t="s">
        <v>1233</v>
      </c>
      <c r="BZ27" s="1151"/>
      <c r="CA27" s="1151"/>
      <c r="CB27" s="1151"/>
      <c r="CC27" s="1151"/>
      <c r="CD27" s="1154"/>
      <c r="CE27" s="1080"/>
      <c r="CF27" s="1080"/>
    </row>
    <row r="28" spans="2:84" s="1018" customFormat="1" ht="6" customHeight="1">
      <c r="B28" s="1111"/>
      <c r="C28" s="1112"/>
      <c r="D28" s="1112"/>
      <c r="E28" s="1101"/>
      <c r="F28" s="1113"/>
      <c r="G28" s="1113"/>
      <c r="H28" s="1113"/>
      <c r="I28" s="1113"/>
      <c r="J28" s="1101"/>
      <c r="K28" s="1101"/>
      <c r="L28" s="1101"/>
      <c r="M28" s="1113"/>
      <c r="N28" s="1113"/>
      <c r="O28" s="1114"/>
      <c r="P28" s="1114"/>
      <c r="Q28" s="1114"/>
      <c r="R28" s="1106"/>
      <c r="S28" s="1106"/>
      <c r="T28" s="1106"/>
      <c r="U28" s="1106"/>
      <c r="V28" s="1106"/>
      <c r="W28" s="1106"/>
      <c r="X28" s="1106"/>
      <c r="Y28" s="1106"/>
      <c r="Z28" s="1106"/>
      <c r="AA28" s="1106"/>
      <c r="AB28" s="1106"/>
      <c r="AC28" s="1106"/>
      <c r="AD28" s="1106"/>
      <c r="AE28" s="1106"/>
      <c r="AF28" s="1106"/>
      <c r="AG28" s="1106"/>
      <c r="AH28" s="1106"/>
      <c r="AI28" s="1106"/>
      <c r="AJ28" s="1106"/>
      <c r="AK28" s="1106"/>
      <c r="AL28" s="1106"/>
      <c r="AM28" s="1106"/>
      <c r="AN28" s="1106"/>
      <c r="AO28" s="1106"/>
      <c r="AP28" s="1106"/>
      <c r="AQ28" s="1106"/>
      <c r="AR28" s="1106"/>
      <c r="AS28" s="1106"/>
      <c r="AT28" s="1106"/>
      <c r="AU28" s="1106"/>
      <c r="AV28" s="1106"/>
      <c r="AW28" s="1106"/>
      <c r="AX28" s="1094"/>
      <c r="AY28" s="1094"/>
      <c r="AZ28" s="1106"/>
      <c r="BA28" s="1106"/>
      <c r="BB28" s="1106"/>
      <c r="BC28" s="1151"/>
      <c r="BD28" s="1151"/>
      <c r="BE28" s="1151"/>
      <c r="BF28" s="1151"/>
      <c r="BG28" s="1151"/>
      <c r="BH28" s="1151"/>
      <c r="BI28" s="1151"/>
      <c r="BJ28" s="1151"/>
      <c r="BK28" s="1151"/>
      <c r="BL28" s="1151"/>
      <c r="BM28" s="1151"/>
      <c r="BN28" s="1151"/>
      <c r="BO28" s="1151"/>
      <c r="BP28" s="1151"/>
      <c r="BQ28" s="1151"/>
      <c r="BR28" s="1151"/>
      <c r="BS28" s="1151"/>
      <c r="BT28" s="1151"/>
      <c r="BU28" s="1151"/>
      <c r="BV28" s="1151"/>
      <c r="BW28" s="1151"/>
      <c r="BX28" s="1151"/>
      <c r="BY28" s="1151"/>
      <c r="BZ28" s="1151"/>
      <c r="CA28" s="1151"/>
      <c r="CB28" s="1151"/>
      <c r="CC28" s="1151"/>
      <c r="CD28" s="1154"/>
      <c r="CE28" s="1080"/>
      <c r="CF28" s="1080"/>
    </row>
    <row r="29" spans="2:84" s="1018" customFormat="1" ht="15.75" customHeight="1">
      <c r="B29" s="1108" t="s">
        <v>388</v>
      </c>
      <c r="C29" s="1109"/>
      <c r="D29" s="1109" t="s">
        <v>770</v>
      </c>
      <c r="E29" s="1109"/>
      <c r="F29" s="1109"/>
      <c r="G29" s="1109"/>
      <c r="H29" s="1109"/>
      <c r="I29" s="1115" t="s">
        <v>26</v>
      </c>
      <c r="J29" s="2256" t="s">
        <v>1234</v>
      </c>
      <c r="K29" s="2256"/>
      <c r="L29" s="2257">
        <f>name</f>
        <v>0</v>
      </c>
      <c r="M29" s="2257"/>
      <c r="N29" s="2257"/>
      <c r="O29" s="2257"/>
      <c r="P29" s="2257"/>
      <c r="Q29" s="2257"/>
      <c r="R29" s="2257"/>
      <c r="S29" s="2257"/>
      <c r="T29" s="2257"/>
      <c r="U29" s="2257"/>
      <c r="V29" s="2257"/>
      <c r="W29" s="2257"/>
      <c r="X29" s="2257"/>
      <c r="Y29" s="2257"/>
      <c r="Z29" s="2257"/>
      <c r="AA29" s="2257"/>
      <c r="AB29" s="2257"/>
      <c r="AC29" s="2257"/>
      <c r="AD29" s="2257"/>
      <c r="AE29" s="2257"/>
      <c r="AF29" s="2257"/>
      <c r="AG29" s="2257"/>
      <c r="AH29" s="2257"/>
      <c r="AI29" s="2257"/>
      <c r="AJ29" s="2257"/>
      <c r="AK29" s="2257"/>
      <c r="AL29" s="2257"/>
      <c r="AM29" s="2257"/>
      <c r="AN29" s="2257"/>
      <c r="AO29" s="2257"/>
      <c r="AP29" s="2257"/>
      <c r="AQ29" s="2257"/>
      <c r="AR29" s="2257"/>
      <c r="AS29" s="2257"/>
      <c r="AT29" s="2257"/>
      <c r="AU29" s="2257"/>
      <c r="AV29" s="2257"/>
      <c r="AW29" s="2257"/>
      <c r="AX29" s="1094"/>
      <c r="AY29" s="1094"/>
      <c r="AZ29" s="2245" t="s">
        <v>394</v>
      </c>
      <c r="BA29" s="2245"/>
      <c r="BB29" s="2245"/>
      <c r="BC29" s="1151" t="s">
        <v>1308</v>
      </c>
      <c r="BD29" s="1151"/>
      <c r="BE29" s="1151"/>
      <c r="BF29" s="1151"/>
      <c r="BG29" s="1151"/>
      <c r="BH29" s="1151"/>
      <c r="BI29" s="1151"/>
      <c r="BJ29" s="1151"/>
      <c r="BK29" s="1151"/>
      <c r="BL29" s="1151" t="s">
        <v>1235</v>
      </c>
      <c r="BM29" s="1151"/>
      <c r="BN29" s="2258"/>
      <c r="BO29" s="2258"/>
      <c r="BP29" s="2258"/>
      <c r="BQ29" s="2258"/>
      <c r="BR29" s="2258"/>
      <c r="BS29" s="2258"/>
      <c r="BT29" s="2258"/>
      <c r="BU29" s="2258"/>
      <c r="BV29" s="2258"/>
      <c r="BW29" s="2258"/>
      <c r="BX29" s="2258"/>
      <c r="BY29" s="2258"/>
      <c r="BZ29" s="2258"/>
      <c r="CA29" s="2258"/>
      <c r="CB29" s="2258"/>
      <c r="CC29" s="2258"/>
      <c r="CD29" s="1154"/>
      <c r="CE29" s="1080"/>
      <c r="CF29" s="1080"/>
    </row>
    <row r="30" spans="2:84" s="1018" customFormat="1" ht="6" customHeight="1">
      <c r="B30" s="1108"/>
      <c r="C30" s="1109"/>
      <c r="D30" s="1116"/>
      <c r="E30" s="1116"/>
      <c r="F30" s="1116"/>
      <c r="G30" s="1116"/>
      <c r="H30" s="1116"/>
      <c r="I30" s="1115"/>
      <c r="J30" s="1117"/>
      <c r="K30" s="1117"/>
      <c r="L30" s="1117"/>
      <c r="M30" s="1115"/>
      <c r="N30" s="1104"/>
      <c r="O30" s="1104"/>
      <c r="P30" s="1104"/>
      <c r="Q30" s="1114"/>
      <c r="R30" s="1106"/>
      <c r="S30" s="1106"/>
      <c r="T30" s="1106"/>
      <c r="U30" s="1106"/>
      <c r="V30" s="1106"/>
      <c r="W30" s="1106"/>
      <c r="X30" s="1106"/>
      <c r="Y30" s="1106"/>
      <c r="Z30" s="1106"/>
      <c r="AA30" s="1106"/>
      <c r="AB30" s="1106"/>
      <c r="AC30" s="1106"/>
      <c r="AD30" s="1106"/>
      <c r="AE30" s="1106"/>
      <c r="AF30" s="1106"/>
      <c r="AG30" s="1106"/>
      <c r="AH30" s="1106"/>
      <c r="AI30" s="1106"/>
      <c r="AJ30" s="1106"/>
      <c r="AK30" s="1106"/>
      <c r="AL30" s="1106"/>
      <c r="AM30" s="1106"/>
      <c r="AN30" s="1106"/>
      <c r="AO30" s="1106"/>
      <c r="AP30" s="1106"/>
      <c r="AQ30" s="1106"/>
      <c r="AR30" s="1106"/>
      <c r="AS30" s="1106"/>
      <c r="AT30" s="1106"/>
      <c r="AU30" s="1106"/>
      <c r="AV30" s="1106"/>
      <c r="AW30" s="1106"/>
      <c r="AX30" s="1094"/>
      <c r="AY30" s="1094"/>
      <c r="AZ30" s="1106"/>
      <c r="BA30" s="1106"/>
      <c r="BB30" s="1106"/>
      <c r="BC30" s="1151"/>
      <c r="BD30" s="1151"/>
      <c r="BE30" s="1151"/>
      <c r="BF30" s="1151"/>
      <c r="BG30" s="1151"/>
      <c r="BH30" s="1151"/>
      <c r="BI30" s="1151"/>
      <c r="BJ30" s="1151"/>
      <c r="BK30" s="1151"/>
      <c r="BL30" s="1151"/>
      <c r="BM30" s="1151"/>
      <c r="BN30" s="1151"/>
      <c r="BO30" s="1151"/>
      <c r="BP30" s="1151"/>
      <c r="BQ30" s="1151"/>
      <c r="BR30" s="1151"/>
      <c r="BS30" s="1151"/>
      <c r="BT30" s="1151"/>
      <c r="BU30" s="1151"/>
      <c r="BV30" s="1151"/>
      <c r="BW30" s="1151"/>
      <c r="BX30" s="1151"/>
      <c r="BY30" s="1151"/>
      <c r="BZ30" s="1151"/>
      <c r="CA30" s="1151"/>
      <c r="CB30" s="1151"/>
      <c r="CC30" s="1151"/>
      <c r="CD30" s="1154"/>
      <c r="CE30" s="1080"/>
      <c r="CF30" s="1080"/>
    </row>
    <row r="31" spans="2:82" s="1018" customFormat="1" ht="15.75" customHeight="1">
      <c r="B31" s="2247" t="s">
        <v>389</v>
      </c>
      <c r="C31" s="2248"/>
      <c r="D31" s="2249" t="s">
        <v>772</v>
      </c>
      <c r="E31" s="2249"/>
      <c r="F31" s="2249"/>
      <c r="G31" s="2249"/>
      <c r="H31" s="2249"/>
      <c r="I31" s="1097" t="s">
        <v>26</v>
      </c>
      <c r="J31" s="2250" t="s">
        <v>1236</v>
      </c>
      <c r="K31" s="2250"/>
      <c r="L31" s="2244"/>
      <c r="M31" s="2244"/>
      <c r="N31" s="2244"/>
      <c r="O31" s="2244"/>
      <c r="P31" s="2244"/>
      <c r="Q31" s="2244"/>
      <c r="R31" s="2244"/>
      <c r="S31" s="2244"/>
      <c r="T31" s="2244"/>
      <c r="U31" s="2244"/>
      <c r="V31" s="2244"/>
      <c r="W31" s="2244"/>
      <c r="X31" s="2244"/>
      <c r="Y31" s="2244"/>
      <c r="Z31" s="2244"/>
      <c r="AA31" s="2244"/>
      <c r="AB31" s="2244"/>
      <c r="AC31" s="2244"/>
      <c r="AD31" s="2244"/>
      <c r="AE31" s="2244"/>
      <c r="AF31" s="2244"/>
      <c r="AG31" s="2244"/>
      <c r="AH31" s="2244"/>
      <c r="AI31" s="2244"/>
      <c r="AJ31" s="2244"/>
      <c r="AK31" s="2244"/>
      <c r="AL31" s="2244"/>
      <c r="AM31" s="2244"/>
      <c r="AN31" s="2244"/>
      <c r="AO31" s="2244"/>
      <c r="AP31" s="2244"/>
      <c r="AQ31" s="2244"/>
      <c r="AR31" s="2244"/>
      <c r="AS31" s="2244"/>
      <c r="AT31" s="2244"/>
      <c r="AU31" s="2244"/>
      <c r="AV31" s="2244"/>
      <c r="AW31" s="2244"/>
      <c r="AX31" s="1098"/>
      <c r="AY31" s="1099"/>
      <c r="AZ31" s="2251" t="s">
        <v>395</v>
      </c>
      <c r="BA31" s="2251"/>
      <c r="BB31" s="2251"/>
      <c r="BC31" s="1113" t="s">
        <v>1309</v>
      </c>
      <c r="BD31" s="1113"/>
      <c r="BE31" s="1113"/>
      <c r="BF31" s="1113"/>
      <c r="BG31" s="1113"/>
      <c r="BH31" s="1113"/>
      <c r="BI31" s="1113"/>
      <c r="BJ31" s="1113"/>
      <c r="BK31" s="1113"/>
      <c r="BL31" s="1113"/>
      <c r="BM31" s="1113"/>
      <c r="BN31" s="1115"/>
      <c r="BO31" s="1109" t="s">
        <v>1237</v>
      </c>
      <c r="BP31" s="1109"/>
      <c r="BQ31" s="2239"/>
      <c r="BR31" s="2240"/>
      <c r="BS31" s="2241"/>
      <c r="BT31" s="2242" t="s">
        <v>1238</v>
      </c>
      <c r="BU31" s="2243"/>
      <c r="BV31" s="2243"/>
      <c r="BW31" s="1155"/>
      <c r="BX31" s="1155"/>
      <c r="BY31" s="1152"/>
      <c r="BZ31" s="1152"/>
      <c r="CA31" s="1152"/>
      <c r="CB31" s="1152"/>
      <c r="CC31" s="1152"/>
      <c r="CD31" s="1153"/>
    </row>
    <row r="32" spans="2:82" s="1018" customFormat="1" ht="6" customHeight="1">
      <c r="B32" s="1100"/>
      <c r="C32" s="1101"/>
      <c r="D32" s="1101"/>
      <c r="E32" s="1101"/>
      <c r="F32" s="1101"/>
      <c r="G32" s="1101"/>
      <c r="H32" s="1101"/>
      <c r="I32" s="1101"/>
      <c r="J32" s="1101"/>
      <c r="K32" s="1101"/>
      <c r="L32" s="1101"/>
      <c r="M32" s="1101"/>
      <c r="N32" s="1101"/>
      <c r="O32" s="1102"/>
      <c r="P32" s="1102"/>
      <c r="Q32" s="1102"/>
      <c r="R32" s="1103"/>
      <c r="S32" s="1103"/>
      <c r="T32" s="1103"/>
      <c r="U32" s="1103"/>
      <c r="V32" s="1103"/>
      <c r="W32" s="1103"/>
      <c r="X32" s="1103"/>
      <c r="Y32" s="1103"/>
      <c r="Z32" s="1103"/>
      <c r="AA32" s="1103"/>
      <c r="AB32" s="1103"/>
      <c r="AC32" s="1103"/>
      <c r="AD32" s="1103"/>
      <c r="AE32" s="1103"/>
      <c r="AF32" s="1103"/>
      <c r="AG32" s="1103"/>
      <c r="AH32" s="1103"/>
      <c r="AI32" s="1103"/>
      <c r="AJ32" s="1103"/>
      <c r="AK32" s="1103"/>
      <c r="AL32" s="1103"/>
      <c r="AM32" s="1103"/>
      <c r="AN32" s="1103"/>
      <c r="AO32" s="1103"/>
      <c r="AP32" s="1104"/>
      <c r="AQ32" s="1104"/>
      <c r="AR32" s="1104"/>
      <c r="AS32" s="1104"/>
      <c r="AT32" s="1104"/>
      <c r="AU32" s="1104"/>
      <c r="AV32" s="1104"/>
      <c r="AW32" s="1104"/>
      <c r="AX32" s="1070"/>
      <c r="AY32" s="1070"/>
      <c r="AZ32" s="1104"/>
      <c r="BA32" s="1104"/>
      <c r="BB32" s="1104"/>
      <c r="BC32" s="1104"/>
      <c r="BD32" s="1104"/>
      <c r="BE32" s="1104"/>
      <c r="BF32" s="1104"/>
      <c r="BG32" s="1104"/>
      <c r="BH32" s="1104"/>
      <c r="BI32" s="1104"/>
      <c r="BJ32" s="1104"/>
      <c r="BK32" s="1104"/>
      <c r="BL32" s="1104"/>
      <c r="BM32" s="1104"/>
      <c r="BN32" s="1104"/>
      <c r="BO32" s="1104"/>
      <c r="BP32" s="1104"/>
      <c r="BQ32" s="1104"/>
      <c r="BR32" s="1104"/>
      <c r="BS32" s="1104"/>
      <c r="BT32" s="1104"/>
      <c r="BU32" s="1104"/>
      <c r="BV32" s="1104"/>
      <c r="BW32" s="1104"/>
      <c r="BX32" s="1104"/>
      <c r="BY32" s="1104"/>
      <c r="BZ32" s="1104"/>
      <c r="CA32" s="1104"/>
      <c r="CB32" s="1104"/>
      <c r="CC32" s="1104"/>
      <c r="CD32" s="1105"/>
    </row>
    <row r="33" spans="2:84" s="1018" customFormat="1" ht="15.75" customHeight="1">
      <c r="B33" s="1108"/>
      <c r="C33" s="1109"/>
      <c r="D33" s="1116"/>
      <c r="E33" s="1116"/>
      <c r="F33" s="1116"/>
      <c r="G33" s="1116"/>
      <c r="H33" s="1116"/>
      <c r="I33" s="1115"/>
      <c r="J33" s="1118"/>
      <c r="K33" s="1118"/>
      <c r="L33" s="2244"/>
      <c r="M33" s="2244"/>
      <c r="N33" s="2244"/>
      <c r="O33" s="2244"/>
      <c r="P33" s="2244"/>
      <c r="Q33" s="2244"/>
      <c r="R33" s="2244"/>
      <c r="S33" s="2244"/>
      <c r="T33" s="2244"/>
      <c r="U33" s="2244"/>
      <c r="V33" s="2244"/>
      <c r="W33" s="2244"/>
      <c r="X33" s="2244"/>
      <c r="Y33" s="2244"/>
      <c r="Z33" s="2244"/>
      <c r="AA33" s="2244"/>
      <c r="AB33" s="2244"/>
      <c r="AC33" s="2244"/>
      <c r="AD33" s="2244"/>
      <c r="AE33" s="2244"/>
      <c r="AF33" s="2244"/>
      <c r="AG33" s="2244"/>
      <c r="AH33" s="2244"/>
      <c r="AI33" s="2244"/>
      <c r="AJ33" s="2244"/>
      <c r="AK33" s="2244"/>
      <c r="AL33" s="2244"/>
      <c r="AM33" s="2244"/>
      <c r="AN33" s="2244"/>
      <c r="AO33" s="2244"/>
      <c r="AP33" s="2244"/>
      <c r="AQ33" s="2244"/>
      <c r="AR33" s="2244"/>
      <c r="AS33" s="2244"/>
      <c r="AT33" s="2244"/>
      <c r="AU33" s="2244"/>
      <c r="AV33" s="2244"/>
      <c r="AW33" s="2244"/>
      <c r="AX33" s="1094"/>
      <c r="AY33" s="1094"/>
      <c r="AZ33" s="2245" t="s">
        <v>396</v>
      </c>
      <c r="BA33" s="2245"/>
      <c r="BB33" s="2245"/>
      <c r="BC33" s="1151" t="s">
        <v>1306</v>
      </c>
      <c r="BD33" s="1151"/>
      <c r="BE33" s="1151"/>
      <c r="BF33" s="1151"/>
      <c r="BG33" s="1151"/>
      <c r="BH33" s="1151"/>
      <c r="BI33" s="1151"/>
      <c r="BJ33" s="1151"/>
      <c r="BK33" s="1151"/>
      <c r="BL33" s="1151"/>
      <c r="BM33" s="1106"/>
      <c r="BN33" s="1106"/>
      <c r="BO33" s="1110"/>
      <c r="BP33" s="1110" t="s">
        <v>1239</v>
      </c>
      <c r="BQ33" s="1110"/>
      <c r="BR33" s="2246"/>
      <c r="BS33" s="2246"/>
      <c r="BT33" s="2246"/>
      <c r="BU33" s="1106"/>
      <c r="BV33" s="1106"/>
      <c r="BW33" s="1106"/>
      <c r="BX33" s="1106"/>
      <c r="BY33" s="1106"/>
      <c r="BZ33" s="1106"/>
      <c r="CA33" s="1106"/>
      <c r="CB33" s="1106"/>
      <c r="CC33" s="1106"/>
      <c r="CD33" s="1107"/>
      <c r="CE33" s="1080"/>
      <c r="CF33" s="1080"/>
    </row>
    <row r="34" spans="2:84" s="1018" customFormat="1" ht="6" customHeight="1">
      <c r="B34" s="1111"/>
      <c r="C34" s="1112"/>
      <c r="D34" s="1112"/>
      <c r="E34" s="1101"/>
      <c r="F34" s="1113"/>
      <c r="G34" s="1113"/>
      <c r="H34" s="1113"/>
      <c r="I34" s="1113"/>
      <c r="J34" s="1113"/>
      <c r="K34" s="1113"/>
      <c r="L34" s="1113"/>
      <c r="M34" s="1113"/>
      <c r="N34" s="1113"/>
      <c r="O34" s="1114"/>
      <c r="P34" s="1114"/>
      <c r="Q34" s="1114"/>
      <c r="R34" s="1106"/>
      <c r="S34" s="1106"/>
      <c r="T34" s="1106"/>
      <c r="U34" s="1106"/>
      <c r="V34" s="1106"/>
      <c r="W34" s="1106"/>
      <c r="X34" s="1106"/>
      <c r="Y34" s="1106"/>
      <c r="Z34" s="1106"/>
      <c r="AA34" s="1106"/>
      <c r="AB34" s="1106"/>
      <c r="AC34" s="1106"/>
      <c r="AD34" s="1106"/>
      <c r="AE34" s="1106"/>
      <c r="AF34" s="1106"/>
      <c r="AG34" s="1106"/>
      <c r="AH34" s="1106"/>
      <c r="AI34" s="1106"/>
      <c r="AJ34" s="1106"/>
      <c r="AK34" s="1106"/>
      <c r="AL34" s="1106"/>
      <c r="AM34" s="1106"/>
      <c r="AN34" s="1106"/>
      <c r="AO34" s="1106"/>
      <c r="AP34" s="1106"/>
      <c r="AQ34" s="1106"/>
      <c r="AR34" s="1106"/>
      <c r="AS34" s="1106"/>
      <c r="AT34" s="1106"/>
      <c r="AU34" s="1106"/>
      <c r="AV34" s="1106"/>
      <c r="AW34" s="1106"/>
      <c r="AX34" s="1094"/>
      <c r="AY34" s="1094"/>
      <c r="AZ34" s="1106"/>
      <c r="BA34" s="1106"/>
      <c r="BB34" s="1106"/>
      <c r="BC34" s="1106"/>
      <c r="BD34" s="1106"/>
      <c r="BE34" s="1106"/>
      <c r="BF34" s="1106"/>
      <c r="BG34" s="1106"/>
      <c r="BH34" s="1106"/>
      <c r="BI34" s="1106"/>
      <c r="BJ34" s="1106"/>
      <c r="BK34" s="1106"/>
      <c r="BL34" s="1106"/>
      <c r="BM34" s="1106"/>
      <c r="BN34" s="1106"/>
      <c r="BO34" s="1106"/>
      <c r="BP34" s="1106"/>
      <c r="BQ34" s="1106"/>
      <c r="BR34" s="1106"/>
      <c r="BS34" s="1106"/>
      <c r="BT34" s="1106"/>
      <c r="BU34" s="1106"/>
      <c r="BV34" s="1106"/>
      <c r="BW34" s="1106"/>
      <c r="BX34" s="1106"/>
      <c r="BY34" s="1106"/>
      <c r="BZ34" s="1106"/>
      <c r="CA34" s="1106"/>
      <c r="CB34" s="1106"/>
      <c r="CC34" s="1106"/>
      <c r="CD34" s="1107"/>
      <c r="CE34" s="1080"/>
      <c r="CF34" s="1080"/>
    </row>
    <row r="35" spans="2:84" s="1018" customFormat="1" ht="15.75" customHeight="1">
      <c r="B35" s="1108" t="s">
        <v>390</v>
      </c>
      <c r="C35" s="1109"/>
      <c r="D35" s="1116" t="s">
        <v>1310</v>
      </c>
      <c r="E35" s="1116"/>
      <c r="F35" s="1116"/>
      <c r="G35" s="1116"/>
      <c r="H35" s="1116"/>
      <c r="I35" s="1116"/>
      <c r="J35" s="1116"/>
      <c r="K35" s="1116"/>
      <c r="L35" s="1116"/>
      <c r="M35" s="2230" t="s">
        <v>1240</v>
      </c>
      <c r="N35" s="2230"/>
      <c r="O35" s="2230"/>
      <c r="P35" s="2231"/>
      <c r="Q35" s="2232"/>
      <c r="R35" s="2233"/>
      <c r="S35" s="2234"/>
      <c r="T35" s="1106" t="s">
        <v>773</v>
      </c>
      <c r="U35" s="1106"/>
      <c r="V35" s="1106"/>
      <c r="W35" s="1106"/>
      <c r="X35" s="1106"/>
      <c r="Y35" s="1106"/>
      <c r="Z35" s="1106"/>
      <c r="AA35" s="1106"/>
      <c r="AB35" s="1106"/>
      <c r="AC35" s="1106"/>
      <c r="AD35" s="1110" t="s">
        <v>1241</v>
      </c>
      <c r="AE35" s="1106"/>
      <c r="AF35" s="1106"/>
      <c r="AG35" s="1119"/>
      <c r="AH35" s="2235"/>
      <c r="AI35" s="2236"/>
      <c r="AJ35" s="2237"/>
      <c r="AK35" s="1106"/>
      <c r="AL35" s="1106" t="s">
        <v>774</v>
      </c>
      <c r="AM35" s="1106"/>
      <c r="AN35" s="1106"/>
      <c r="AO35" s="1106"/>
      <c r="AP35" s="1106"/>
      <c r="AQ35" s="1106"/>
      <c r="AR35" s="1106"/>
      <c r="AS35" s="1106"/>
      <c r="AT35" s="1106"/>
      <c r="AU35" s="1106"/>
      <c r="AV35" s="1106"/>
      <c r="AW35" s="1106"/>
      <c r="AX35" s="1094"/>
      <c r="AY35" s="1094"/>
      <c r="AZ35" s="1094"/>
      <c r="BA35" s="1094"/>
      <c r="BB35" s="1094"/>
      <c r="BC35" s="1094"/>
      <c r="BD35" s="1094"/>
      <c r="BE35" s="1094"/>
      <c r="BF35" s="1094"/>
      <c r="BG35" s="1094"/>
      <c r="BH35" s="1094"/>
      <c r="BI35" s="1094"/>
      <c r="BJ35" s="1094"/>
      <c r="BK35" s="1094"/>
      <c r="BL35" s="1094"/>
      <c r="BM35" s="1094"/>
      <c r="BN35" s="1094"/>
      <c r="BO35" s="1094"/>
      <c r="BP35" s="1094"/>
      <c r="BQ35" s="1094"/>
      <c r="BR35" s="1094"/>
      <c r="BS35" s="1094"/>
      <c r="BT35" s="1094"/>
      <c r="BU35" s="1094"/>
      <c r="BV35" s="1094"/>
      <c r="BW35" s="1094"/>
      <c r="BX35" s="1094"/>
      <c r="BY35" s="1094"/>
      <c r="BZ35" s="1094"/>
      <c r="CA35" s="1094"/>
      <c r="CB35" s="1094"/>
      <c r="CC35" s="1094"/>
      <c r="CD35" s="1079"/>
      <c r="CE35" s="1080"/>
      <c r="CF35" s="1080"/>
    </row>
    <row r="36" spans="2:84" s="1018" customFormat="1" ht="9.75" customHeight="1" thickBot="1">
      <c r="B36" s="1081"/>
      <c r="C36" s="1082"/>
      <c r="D36" s="1120"/>
      <c r="E36" s="1120"/>
      <c r="F36" s="1120"/>
      <c r="G36" s="1120"/>
      <c r="H36" s="1120"/>
      <c r="I36" s="1120"/>
      <c r="J36" s="1120"/>
      <c r="K36" s="1120"/>
      <c r="L36" s="1121"/>
      <c r="M36" s="1121"/>
      <c r="N36" s="1121"/>
      <c r="O36" s="1122"/>
      <c r="P36" s="1122"/>
      <c r="Q36" s="1123"/>
      <c r="R36" s="1086"/>
      <c r="S36" s="1086"/>
      <c r="T36" s="1086"/>
      <c r="U36" s="1086"/>
      <c r="V36" s="1086"/>
      <c r="W36" s="1086"/>
      <c r="X36" s="1086"/>
      <c r="Y36" s="1086"/>
      <c r="Z36" s="1086"/>
      <c r="AA36" s="1086"/>
      <c r="AB36" s="1086"/>
      <c r="AC36" s="1086"/>
      <c r="AD36" s="1124"/>
      <c r="AE36" s="1086"/>
      <c r="AF36" s="1086"/>
      <c r="AG36" s="1086"/>
      <c r="AH36" s="1086"/>
      <c r="AI36" s="1086"/>
      <c r="AJ36" s="1086"/>
      <c r="AK36" s="1086"/>
      <c r="AL36" s="1086"/>
      <c r="AM36" s="1086"/>
      <c r="AN36" s="1086"/>
      <c r="AO36" s="1086"/>
      <c r="AP36" s="1086"/>
      <c r="AQ36" s="1086"/>
      <c r="AR36" s="1086"/>
      <c r="AS36" s="1086"/>
      <c r="AT36" s="1086"/>
      <c r="AU36" s="1086"/>
      <c r="AV36" s="1086"/>
      <c r="AW36" s="1086"/>
      <c r="AX36" s="1086"/>
      <c r="AY36" s="1086"/>
      <c r="AZ36" s="1086"/>
      <c r="BA36" s="1086"/>
      <c r="BB36" s="1086"/>
      <c r="BC36" s="1086"/>
      <c r="BD36" s="1086"/>
      <c r="BE36" s="1086"/>
      <c r="BF36" s="1086"/>
      <c r="BG36" s="1086"/>
      <c r="BH36" s="1086"/>
      <c r="BI36" s="1086"/>
      <c r="BJ36" s="1086"/>
      <c r="BK36" s="1086"/>
      <c r="BL36" s="1086"/>
      <c r="BM36" s="1086"/>
      <c r="BN36" s="1086"/>
      <c r="BO36" s="1086"/>
      <c r="BP36" s="1086"/>
      <c r="BQ36" s="1086"/>
      <c r="BR36" s="1086"/>
      <c r="BS36" s="1086"/>
      <c r="BT36" s="1086"/>
      <c r="BU36" s="1086"/>
      <c r="BV36" s="1086"/>
      <c r="BW36" s="1086"/>
      <c r="BX36" s="1086"/>
      <c r="BY36" s="1086"/>
      <c r="BZ36" s="1086"/>
      <c r="CA36" s="1086"/>
      <c r="CB36" s="1086"/>
      <c r="CC36" s="1086"/>
      <c r="CD36" s="1087"/>
      <c r="CE36" s="1080"/>
      <c r="CF36" s="1080"/>
    </row>
    <row r="37" spans="2:84" s="1018" customFormat="1" ht="24" customHeight="1">
      <c r="B37" s="2238" t="s">
        <v>1242</v>
      </c>
      <c r="C37" s="2238"/>
      <c r="D37" s="2238"/>
      <c r="E37" s="2238"/>
      <c r="F37" s="2238"/>
      <c r="G37" s="2238"/>
      <c r="H37" s="2238"/>
      <c r="I37" s="2238"/>
      <c r="J37" s="2238"/>
      <c r="K37" s="2238"/>
      <c r="L37" s="2238"/>
      <c r="M37" s="2238"/>
      <c r="N37" s="2238"/>
      <c r="O37" s="2238"/>
      <c r="P37" s="2238"/>
      <c r="Q37" s="2238"/>
      <c r="R37" s="2238"/>
      <c r="S37" s="2238"/>
      <c r="T37" s="2238"/>
      <c r="U37" s="2238"/>
      <c r="V37" s="2238"/>
      <c r="W37" s="2238"/>
      <c r="X37" s="2238"/>
      <c r="Y37" s="2238"/>
      <c r="Z37" s="2238"/>
      <c r="AA37" s="2238"/>
      <c r="AB37" s="2238"/>
      <c r="AC37" s="2238"/>
      <c r="AD37" s="2238"/>
      <c r="AE37" s="2238"/>
      <c r="AF37" s="2238"/>
      <c r="AG37" s="2238"/>
      <c r="AH37" s="2238"/>
      <c r="AI37" s="2238"/>
      <c r="AJ37" s="2238"/>
      <c r="AK37" s="2238"/>
      <c r="AL37" s="2238"/>
      <c r="AM37" s="2238"/>
      <c r="AN37" s="2238"/>
      <c r="AO37" s="2238"/>
      <c r="AP37" s="2238"/>
      <c r="AQ37" s="2238"/>
      <c r="AR37" s="2238"/>
      <c r="AS37" s="2238"/>
      <c r="AT37" s="2238"/>
      <c r="AU37" s="2238"/>
      <c r="AV37" s="2238"/>
      <c r="AW37" s="2238"/>
      <c r="AX37" s="2238"/>
      <c r="AY37" s="2238"/>
      <c r="AZ37" s="2238"/>
      <c r="BA37" s="2238"/>
      <c r="BB37" s="2238"/>
      <c r="BC37" s="2238"/>
      <c r="BD37" s="2238"/>
      <c r="BE37" s="2238"/>
      <c r="BF37" s="2238"/>
      <c r="BG37" s="2238"/>
      <c r="BH37" s="1156"/>
      <c r="BI37" s="1156"/>
      <c r="BJ37" s="1156"/>
      <c r="BK37" s="1156"/>
      <c r="BL37" s="1156"/>
      <c r="BM37" s="1156"/>
      <c r="BN37" s="1156"/>
      <c r="BO37" s="1156"/>
      <c r="BP37" s="1156"/>
      <c r="BQ37" s="1156"/>
      <c r="BR37" s="1156"/>
      <c r="BS37" s="1156"/>
      <c r="BT37" s="1156"/>
      <c r="BU37" s="1156"/>
      <c r="BV37" s="1156"/>
      <c r="BW37" s="1156"/>
      <c r="BX37" s="1156"/>
      <c r="BY37" s="1156"/>
      <c r="BZ37" s="1156"/>
      <c r="CA37" s="1156"/>
      <c r="CB37" s="1156"/>
      <c r="CC37" s="1156"/>
      <c r="CD37" s="1157"/>
      <c r="CE37" s="1080"/>
      <c r="CF37" s="1080"/>
    </row>
    <row r="38" spans="2:84" s="1018" customFormat="1" ht="3" customHeight="1">
      <c r="B38" s="1163"/>
      <c r="C38" s="1163"/>
      <c r="D38" s="1164"/>
      <c r="E38" s="1164"/>
      <c r="F38" s="1164"/>
      <c r="G38" s="1164"/>
      <c r="H38" s="1164"/>
      <c r="I38" s="1165"/>
      <c r="J38" s="1158"/>
      <c r="K38" s="1158"/>
      <c r="L38" s="1158"/>
      <c r="M38" s="1165"/>
      <c r="N38" s="1159"/>
      <c r="O38" s="1159"/>
      <c r="P38" s="1159"/>
      <c r="Q38" s="1160"/>
      <c r="R38" s="1161"/>
      <c r="S38" s="1161"/>
      <c r="T38" s="1161"/>
      <c r="U38" s="1161"/>
      <c r="V38" s="1161"/>
      <c r="W38" s="1161"/>
      <c r="X38" s="1161"/>
      <c r="Y38" s="1161"/>
      <c r="Z38" s="1161"/>
      <c r="AA38" s="1161"/>
      <c r="AB38" s="1161"/>
      <c r="AC38" s="1161"/>
      <c r="AD38" s="1161"/>
      <c r="AE38" s="1161"/>
      <c r="AF38" s="1161"/>
      <c r="AG38" s="1161"/>
      <c r="AH38" s="1161"/>
      <c r="AI38" s="1161"/>
      <c r="AJ38" s="1161"/>
      <c r="AK38" s="1161"/>
      <c r="AL38" s="1161"/>
      <c r="AM38" s="1161"/>
      <c r="AN38" s="1161"/>
      <c r="AO38" s="1161"/>
      <c r="AP38" s="1161"/>
      <c r="AQ38" s="1161"/>
      <c r="AR38" s="1161"/>
      <c r="AS38" s="1161"/>
      <c r="AT38" s="1161"/>
      <c r="AU38" s="1161"/>
      <c r="AV38" s="1161"/>
      <c r="AW38" s="1161"/>
      <c r="AX38" s="1161"/>
      <c r="AY38" s="1161"/>
      <c r="AZ38" s="1161"/>
      <c r="BA38" s="1161"/>
      <c r="BB38" s="1161"/>
      <c r="BC38" s="1161"/>
      <c r="BD38" s="1161"/>
      <c r="BE38" s="1161"/>
      <c r="BF38" s="1161"/>
      <c r="BG38" s="1161"/>
      <c r="BH38" s="1161"/>
      <c r="BI38" s="1161"/>
      <c r="BJ38" s="1161"/>
      <c r="BK38" s="1161"/>
      <c r="BL38" s="1161"/>
      <c r="BM38" s="1161"/>
      <c r="BN38" s="1161"/>
      <c r="BO38" s="1161"/>
      <c r="BP38" s="1161"/>
      <c r="BQ38" s="1161"/>
      <c r="BR38" s="1161"/>
      <c r="BS38" s="1161"/>
      <c r="BT38" s="1161"/>
      <c r="BU38" s="1161"/>
      <c r="BV38" s="1161"/>
      <c r="BW38" s="1161"/>
      <c r="BX38" s="1161"/>
      <c r="BY38" s="1161"/>
      <c r="BZ38" s="1161"/>
      <c r="CA38" s="1161"/>
      <c r="CB38" s="1161"/>
      <c r="CC38" s="1161"/>
      <c r="CD38" s="1157"/>
      <c r="CE38" s="1080"/>
      <c r="CF38" s="1080"/>
    </row>
    <row r="39" spans="2:84" s="1126" customFormat="1" ht="19" customHeight="1">
      <c r="B39" s="2219" t="s">
        <v>1243</v>
      </c>
      <c r="C39" s="2220"/>
      <c r="D39" s="2220"/>
      <c r="E39" s="2220"/>
      <c r="F39" s="2220"/>
      <c r="G39" s="2220"/>
      <c r="H39" s="2220"/>
      <c r="I39" s="2220"/>
      <c r="J39" s="2220"/>
      <c r="K39" s="2220"/>
      <c r="L39" s="2220"/>
      <c r="M39" s="2220"/>
      <c r="N39" s="2220"/>
      <c r="O39" s="2220"/>
      <c r="P39" s="2220"/>
      <c r="Q39" s="2220"/>
      <c r="R39" s="2220"/>
      <c r="S39" s="2220"/>
      <c r="T39" s="2220"/>
      <c r="U39" s="2220"/>
      <c r="V39" s="2220"/>
      <c r="W39" s="2220"/>
      <c r="X39" s="2220"/>
      <c r="Y39" s="2220"/>
      <c r="Z39" s="2220"/>
      <c r="AA39" s="2220"/>
      <c r="AB39" s="2220"/>
      <c r="AC39" s="2220"/>
      <c r="AD39" s="2220"/>
      <c r="AE39" s="2220"/>
      <c r="AF39" s="2220"/>
      <c r="AG39" s="2220"/>
      <c r="AH39" s="2220"/>
      <c r="AI39" s="2220"/>
      <c r="AJ39" s="2220"/>
      <c r="AK39" s="2220"/>
      <c r="AL39" s="2220"/>
      <c r="AM39" s="2220"/>
      <c r="AN39" s="2220"/>
      <c r="AO39" s="2220"/>
      <c r="AP39" s="2220"/>
      <c r="AQ39" s="2220"/>
      <c r="AR39" s="2220"/>
      <c r="AS39" s="2220"/>
      <c r="AT39" s="2220"/>
      <c r="AU39" s="2220"/>
      <c r="AV39" s="2220"/>
      <c r="AW39" s="2220"/>
      <c r="AX39" s="2220"/>
      <c r="AY39" s="2220"/>
      <c r="AZ39" s="2220"/>
      <c r="BA39" s="2220"/>
      <c r="BB39" s="2220"/>
      <c r="BC39" s="2220"/>
      <c r="BD39" s="2220"/>
      <c r="BE39" s="2220"/>
      <c r="BF39" s="2220"/>
      <c r="BG39" s="2220"/>
      <c r="BH39" s="2220"/>
      <c r="BI39" s="2220"/>
      <c r="BJ39" s="2220"/>
      <c r="BK39" s="2220"/>
      <c r="BL39" s="2220"/>
      <c r="BM39" s="2221"/>
      <c r="BN39" s="2222" t="s">
        <v>1311</v>
      </c>
      <c r="BO39" s="2223"/>
      <c r="BP39" s="2223"/>
      <c r="BQ39" s="2223"/>
      <c r="BR39" s="2223"/>
      <c r="BS39" s="2223"/>
      <c r="BT39" s="2223"/>
      <c r="BU39" s="2223"/>
      <c r="BV39" s="2223"/>
      <c r="BW39" s="2223"/>
      <c r="BX39" s="2223"/>
      <c r="BY39" s="2223"/>
      <c r="BZ39" s="2223"/>
      <c r="CA39" s="2223"/>
      <c r="CB39" s="2223"/>
      <c r="CC39" s="2223"/>
      <c r="CD39" s="2224"/>
      <c r="CE39" s="1125"/>
      <c r="CF39" s="1125"/>
    </row>
    <row r="40" spans="2:84" s="1126" customFormat="1" ht="3" customHeight="1">
      <c r="B40" s="1166"/>
      <c r="C40" s="1167"/>
      <c r="D40" s="1167"/>
      <c r="E40" s="1167"/>
      <c r="F40" s="1167"/>
      <c r="G40" s="1167"/>
      <c r="H40" s="1167"/>
      <c r="I40" s="1167"/>
      <c r="J40" s="1167"/>
      <c r="K40" s="1167"/>
      <c r="L40" s="1167"/>
      <c r="M40" s="1167"/>
      <c r="N40" s="1167"/>
      <c r="O40" s="1167"/>
      <c r="P40" s="1167"/>
      <c r="Q40" s="1167"/>
      <c r="R40" s="1167"/>
      <c r="S40" s="1167"/>
      <c r="T40" s="1167"/>
      <c r="U40" s="1167"/>
      <c r="V40" s="1167"/>
      <c r="W40" s="1167"/>
      <c r="X40" s="1167"/>
      <c r="Y40" s="1167"/>
      <c r="Z40" s="1167"/>
      <c r="AA40" s="1167"/>
      <c r="AB40" s="1167"/>
      <c r="AC40" s="1167"/>
      <c r="AD40" s="1168"/>
      <c r="AE40" s="1168"/>
      <c r="AF40" s="1168"/>
      <c r="AG40" s="1168"/>
      <c r="AH40" s="1168"/>
      <c r="AI40" s="1168"/>
      <c r="AJ40" s="1168"/>
      <c r="AK40" s="1168"/>
      <c r="AL40" s="1168"/>
      <c r="AM40" s="1168"/>
      <c r="AN40" s="1168"/>
      <c r="AO40" s="1168"/>
      <c r="AP40" s="1168"/>
      <c r="AQ40" s="1168"/>
      <c r="AR40" s="1168"/>
      <c r="AS40" s="1168"/>
      <c r="AT40" s="1168"/>
      <c r="AU40" s="1168"/>
      <c r="AV40" s="1168"/>
      <c r="AW40" s="1168"/>
      <c r="AX40" s="1168"/>
      <c r="AY40" s="1168"/>
      <c r="AZ40" s="1168"/>
      <c r="BA40" s="1168"/>
      <c r="BB40" s="1168"/>
      <c r="BC40" s="1168"/>
      <c r="BD40" s="1168"/>
      <c r="BE40" s="1168"/>
      <c r="BF40" s="1168"/>
      <c r="BG40" s="1168"/>
      <c r="BH40" s="1168"/>
      <c r="BI40" s="1168"/>
      <c r="BJ40" s="1168"/>
      <c r="BK40" s="1168"/>
      <c r="BL40" s="1168"/>
      <c r="BM40" s="1168"/>
      <c r="BN40" s="1169"/>
      <c r="BO40" s="1170"/>
      <c r="BP40" s="1170"/>
      <c r="BQ40" s="1170"/>
      <c r="BR40" s="1170"/>
      <c r="BS40" s="1170"/>
      <c r="BT40" s="1170"/>
      <c r="BU40" s="1170"/>
      <c r="BV40" s="1170"/>
      <c r="BW40" s="1170"/>
      <c r="BX40" s="1170"/>
      <c r="BY40" s="1170"/>
      <c r="BZ40" s="1170"/>
      <c r="CA40" s="1170"/>
      <c r="CB40" s="1170"/>
      <c r="CC40" s="1170"/>
      <c r="CD40" s="1171"/>
      <c r="CE40" s="1125"/>
      <c r="CF40" s="1125"/>
    </row>
    <row r="41" spans="2:84" s="1127" customFormat="1" ht="17.25" customHeight="1">
      <c r="B41" s="2225" t="s">
        <v>1244</v>
      </c>
      <c r="C41" s="2226"/>
      <c r="D41" s="2226"/>
      <c r="E41" s="2226"/>
      <c r="F41" s="2226"/>
      <c r="G41" s="2226"/>
      <c r="H41" s="2226"/>
      <c r="I41" s="2226"/>
      <c r="J41" s="2226"/>
      <c r="K41" s="2226"/>
      <c r="L41" s="2226"/>
      <c r="M41" s="1172" t="s">
        <v>26</v>
      </c>
      <c r="N41" s="1172"/>
      <c r="O41" s="2222"/>
      <c r="P41" s="2223"/>
      <c r="Q41" s="2224"/>
      <c r="R41" s="2227" t="s">
        <v>1245</v>
      </c>
      <c r="S41" s="2228"/>
      <c r="T41" s="2228"/>
      <c r="U41" s="2228"/>
      <c r="V41" s="2228"/>
      <c r="W41" s="2228"/>
      <c r="X41" s="2228"/>
      <c r="Y41" s="2228"/>
      <c r="Z41" s="1172"/>
      <c r="AA41" s="2222"/>
      <c r="AB41" s="2223"/>
      <c r="AC41" s="2223"/>
      <c r="AD41" s="2224"/>
      <c r="AE41" s="2225" t="s">
        <v>1246</v>
      </c>
      <c r="AF41" s="2226"/>
      <c r="AG41" s="2226"/>
      <c r="AH41" s="2226"/>
      <c r="AI41" s="2226"/>
      <c r="AJ41" s="2226"/>
      <c r="AK41" s="2226"/>
      <c r="AL41" s="2226"/>
      <c r="AM41" s="2226"/>
      <c r="AN41" s="2226"/>
      <c r="AO41" s="1162"/>
      <c r="AP41" s="1162"/>
      <c r="AQ41" s="1162"/>
      <c r="AR41" s="1162"/>
      <c r="AS41" s="1162"/>
      <c r="AT41" s="1162"/>
      <c r="AU41" s="1162"/>
      <c r="AV41" s="1172"/>
      <c r="AW41" s="1172"/>
      <c r="AX41" s="1172"/>
      <c r="AY41" s="1172"/>
      <c r="AZ41" s="1172"/>
      <c r="BA41" s="1172"/>
      <c r="BB41" s="1172"/>
      <c r="BC41" s="1172"/>
      <c r="BD41" s="1172"/>
      <c r="BE41" s="1172"/>
      <c r="BF41" s="2228"/>
      <c r="BG41" s="2228"/>
      <c r="BH41" s="2228"/>
      <c r="BI41" s="2228"/>
      <c r="BJ41" s="2228"/>
      <c r="BK41" s="2228"/>
      <c r="BL41" s="2228"/>
      <c r="BM41" s="2228"/>
      <c r="BN41" s="2227"/>
      <c r="BO41" s="2228"/>
      <c r="BP41" s="2228"/>
      <c r="BQ41" s="2228"/>
      <c r="BR41" s="2228"/>
      <c r="BS41" s="2228"/>
      <c r="BT41" s="2228"/>
      <c r="BU41" s="2228"/>
      <c r="BV41" s="2228"/>
      <c r="BW41" s="2228"/>
      <c r="BX41" s="2228"/>
      <c r="BY41" s="2228"/>
      <c r="BZ41" s="2228"/>
      <c r="CA41" s="2228"/>
      <c r="CB41" s="2228"/>
      <c r="CC41" s="2228"/>
      <c r="CD41" s="2229"/>
      <c r="CE41" s="1128"/>
      <c r="CF41" s="1128"/>
    </row>
    <row r="42" spans="2:84" s="1127" customFormat="1" ht="3" customHeight="1">
      <c r="B42" s="1129"/>
      <c r="C42" s="1130"/>
      <c r="D42" s="1130"/>
      <c r="E42" s="1130"/>
      <c r="F42" s="1130"/>
      <c r="G42" s="1130"/>
      <c r="H42" s="1130"/>
      <c r="I42" s="1130"/>
      <c r="J42" s="1130"/>
      <c r="K42" s="1130"/>
      <c r="L42" s="1130"/>
      <c r="M42" s="1130"/>
      <c r="N42" s="1130"/>
      <c r="O42" s="1130"/>
      <c r="P42" s="1130"/>
      <c r="Q42" s="1130"/>
      <c r="R42" s="1130"/>
      <c r="S42" s="1130"/>
      <c r="T42" s="1130"/>
      <c r="U42" s="1130"/>
      <c r="V42" s="1130"/>
      <c r="W42" s="1130"/>
      <c r="X42" s="1130"/>
      <c r="Y42" s="1130"/>
      <c r="Z42" s="1130"/>
      <c r="AA42" s="1130"/>
      <c r="AB42" s="1130"/>
      <c r="AC42" s="1130"/>
      <c r="AD42" s="1130"/>
      <c r="AE42" s="1130"/>
      <c r="AF42" s="1130"/>
      <c r="AG42" s="1130"/>
      <c r="AH42" s="1130"/>
      <c r="AI42" s="1130"/>
      <c r="AJ42" s="1130"/>
      <c r="AK42" s="1130"/>
      <c r="AL42" s="1130"/>
      <c r="AM42" s="1130"/>
      <c r="AN42" s="1130"/>
      <c r="AO42" s="1130"/>
      <c r="AP42" s="1130"/>
      <c r="AQ42" s="1130"/>
      <c r="AR42" s="1130"/>
      <c r="AS42" s="1130"/>
      <c r="AT42" s="1130"/>
      <c r="AU42" s="1130"/>
      <c r="AV42" s="1130"/>
      <c r="AW42" s="1130"/>
      <c r="AX42" s="1130"/>
      <c r="AY42" s="1130"/>
      <c r="AZ42" s="1130"/>
      <c r="BA42" s="1130"/>
      <c r="BB42" s="1130"/>
      <c r="BC42" s="1130"/>
      <c r="BD42" s="1130"/>
      <c r="BE42" s="1130"/>
      <c r="BF42" s="1130"/>
      <c r="BG42" s="1131"/>
      <c r="BH42" s="1131"/>
      <c r="BI42" s="1131"/>
      <c r="BJ42" s="1131"/>
      <c r="BK42" s="1131"/>
      <c r="BL42" s="1131"/>
      <c r="BM42" s="1131"/>
      <c r="BN42" s="1132"/>
      <c r="BO42" s="1133"/>
      <c r="BP42" s="1133"/>
      <c r="BQ42" s="1133"/>
      <c r="BR42" s="1133"/>
      <c r="BS42" s="1133"/>
      <c r="BT42" s="1133"/>
      <c r="BU42" s="1133"/>
      <c r="BV42" s="1133"/>
      <c r="BW42" s="1133"/>
      <c r="BX42" s="1133"/>
      <c r="BY42" s="1133"/>
      <c r="BZ42" s="1133"/>
      <c r="CA42" s="1133"/>
      <c r="CB42" s="1133"/>
      <c r="CC42" s="1133"/>
      <c r="CD42" s="1134"/>
      <c r="CE42" s="1128"/>
      <c r="CF42" s="1128"/>
    </row>
    <row r="43" spans="2:84" s="1127" customFormat="1" ht="20.15" customHeight="1">
      <c r="B43" s="2214" t="s">
        <v>775</v>
      </c>
      <c r="C43" s="2215"/>
      <c r="D43" s="2215"/>
      <c r="E43" s="2215"/>
      <c r="F43" s="2215"/>
      <c r="G43" s="2215"/>
      <c r="H43" s="2215"/>
      <c r="I43" s="2215"/>
      <c r="J43" s="2215"/>
      <c r="K43" s="2215"/>
      <c r="L43" s="2215"/>
      <c r="M43" s="2215"/>
      <c r="N43" s="2215"/>
      <c r="O43" s="2215"/>
      <c r="P43" s="2215"/>
      <c r="Q43" s="2215"/>
      <c r="R43" s="2215"/>
      <c r="S43" s="2215"/>
      <c r="T43" s="2215"/>
      <c r="U43" s="1135"/>
      <c r="V43" s="1135"/>
      <c r="W43" s="1135"/>
      <c r="X43" s="1135"/>
      <c r="Y43" s="1135"/>
      <c r="Z43" s="1135"/>
      <c r="AA43" s="1135"/>
      <c r="AB43" s="1135"/>
      <c r="AC43" s="1135"/>
      <c r="AD43" s="1135"/>
      <c r="AE43" s="1135"/>
      <c r="AF43" s="1135"/>
      <c r="AG43" s="1135"/>
      <c r="AH43" s="1135"/>
      <c r="AI43" s="1135"/>
      <c r="AJ43" s="1135"/>
      <c r="AK43" s="1135"/>
      <c r="AL43" s="1135"/>
      <c r="AM43" s="1135"/>
      <c r="AN43" s="1135"/>
      <c r="AO43" s="1135"/>
      <c r="AP43" s="1135"/>
      <c r="AQ43" s="1135"/>
      <c r="AR43" s="1135"/>
      <c r="AS43" s="1135"/>
      <c r="AT43" s="1135"/>
      <c r="AU43" s="1135"/>
      <c r="AV43" s="1135"/>
      <c r="AW43" s="1135"/>
      <c r="AX43" s="1135"/>
      <c r="AY43" s="1135"/>
      <c r="AZ43" s="1135"/>
      <c r="BA43" s="1135"/>
      <c r="BB43" s="1135"/>
      <c r="BC43" s="1135"/>
      <c r="BD43" s="1135"/>
      <c r="BE43" s="1135"/>
      <c r="BF43" s="1135"/>
      <c r="BG43" s="1136"/>
      <c r="BH43" s="1136"/>
      <c r="BI43" s="1136"/>
      <c r="BJ43" s="1136"/>
      <c r="BK43" s="1136"/>
      <c r="BL43" s="1136"/>
      <c r="BM43" s="1136"/>
      <c r="BN43" s="2216"/>
      <c r="BO43" s="2217"/>
      <c r="BP43" s="2217"/>
      <c r="BQ43" s="2217"/>
      <c r="BR43" s="2217"/>
      <c r="BS43" s="2217"/>
      <c r="BT43" s="2217"/>
      <c r="BU43" s="2217"/>
      <c r="BV43" s="2217"/>
      <c r="BW43" s="2217"/>
      <c r="BX43" s="2217"/>
      <c r="BY43" s="2217"/>
      <c r="BZ43" s="2217"/>
      <c r="CA43" s="2217"/>
      <c r="CB43" s="2217"/>
      <c r="CC43" s="2217"/>
      <c r="CD43" s="2218"/>
      <c r="CE43" s="1128"/>
      <c r="CF43" s="1128"/>
    </row>
    <row r="44" spans="2:84" s="1126" customFormat="1" ht="20.15" customHeight="1">
      <c r="B44" s="2192" t="s">
        <v>386</v>
      </c>
      <c r="C44" s="2193"/>
      <c r="D44" s="2194" t="s">
        <v>1312</v>
      </c>
      <c r="E44" s="1182"/>
      <c r="F44" s="1182"/>
      <c r="G44" s="1182"/>
      <c r="H44" s="1182"/>
      <c r="I44" s="1182"/>
      <c r="J44" s="1182"/>
      <c r="K44" s="1182"/>
      <c r="L44" s="1182"/>
      <c r="M44" s="1182"/>
      <c r="N44" s="1182"/>
      <c r="O44" s="1182"/>
      <c r="P44" s="1182"/>
      <c r="Q44" s="1182"/>
      <c r="R44" s="1182"/>
      <c r="S44" s="1182"/>
      <c r="T44" s="1182"/>
      <c r="U44" s="1182"/>
      <c r="V44" s="1182"/>
      <c r="W44" s="1182"/>
      <c r="X44" s="1182"/>
      <c r="Y44" s="1182"/>
      <c r="Z44" s="1182"/>
      <c r="AA44" s="1182"/>
      <c r="AB44" s="1182"/>
      <c r="AC44" s="1182"/>
      <c r="AD44" s="1182"/>
      <c r="AE44" s="1182"/>
      <c r="AF44" s="1182"/>
      <c r="AG44" s="1182"/>
      <c r="AH44" s="1182"/>
      <c r="AI44" s="1182"/>
      <c r="AJ44" s="1182"/>
      <c r="AK44" s="1182"/>
      <c r="AL44" s="1182"/>
      <c r="AM44" s="1182"/>
      <c r="AN44" s="1182"/>
      <c r="AO44" s="1182"/>
      <c r="AP44" s="1182"/>
      <c r="AQ44" s="1182"/>
      <c r="AR44" s="1182"/>
      <c r="AS44" s="1182"/>
      <c r="AT44" s="1182"/>
      <c r="AU44" s="1182"/>
      <c r="AV44" s="1182"/>
      <c r="AW44" s="1182"/>
      <c r="AX44" s="1182"/>
      <c r="AY44" s="1182"/>
      <c r="AZ44" s="1182"/>
      <c r="BA44" s="1182"/>
      <c r="BB44" s="1182"/>
      <c r="BC44" s="1182"/>
      <c r="BD44" s="1182"/>
      <c r="BE44" s="1182"/>
      <c r="BF44" s="1182"/>
      <c r="BG44" s="1182"/>
      <c r="BH44" s="1182"/>
      <c r="BI44" s="1182"/>
      <c r="BJ44" s="1182"/>
      <c r="BK44" s="1182"/>
      <c r="BL44" s="1182"/>
      <c r="BM44" s="2202"/>
      <c r="BN44" s="2200">
        <f>'GENERAL INFO'!G118</f>
        <v>0</v>
      </c>
      <c r="BO44" s="2201"/>
      <c r="BP44" s="2201"/>
      <c r="BQ44" s="2201"/>
      <c r="BR44" s="2201"/>
      <c r="BS44" s="2201"/>
      <c r="BT44" s="2201"/>
      <c r="BU44" s="2201"/>
      <c r="BV44" s="2201"/>
      <c r="BW44" s="2201"/>
      <c r="BX44" s="2201"/>
      <c r="BY44" s="2201"/>
      <c r="BZ44" s="2201"/>
      <c r="CA44" s="2201"/>
      <c r="CB44" s="2201"/>
      <c r="CC44" s="2201"/>
      <c r="CD44" s="1137"/>
      <c r="CE44" s="1138"/>
      <c r="CF44" s="1138"/>
    </row>
    <row r="45" spans="2:84" s="1126" customFormat="1" ht="20.15" customHeight="1">
      <c r="B45" s="2192" t="s">
        <v>387</v>
      </c>
      <c r="C45" s="2193"/>
      <c r="D45" s="2210" t="s">
        <v>776</v>
      </c>
      <c r="E45" s="1173"/>
      <c r="F45" s="1173"/>
      <c r="G45" s="1173"/>
      <c r="H45" s="1173"/>
      <c r="I45" s="1173"/>
      <c r="J45" s="1173"/>
      <c r="K45" s="1173"/>
      <c r="L45" s="1173"/>
      <c r="M45" s="1173"/>
      <c r="N45" s="1173"/>
      <c r="O45" s="1173"/>
      <c r="P45" s="1173"/>
      <c r="Q45" s="1173"/>
      <c r="R45" s="1173"/>
      <c r="S45" s="1173"/>
      <c r="T45" s="1173"/>
      <c r="U45" s="1173"/>
      <c r="V45" s="1173"/>
      <c r="W45" s="1173"/>
      <c r="X45" s="1173"/>
      <c r="Y45" s="1173"/>
      <c r="Z45" s="1173"/>
      <c r="AA45" s="1173"/>
      <c r="AB45" s="1173"/>
      <c r="AC45" s="1173"/>
      <c r="AD45" s="1173"/>
      <c r="AE45" s="1173"/>
      <c r="AF45" s="1173"/>
      <c r="AG45" s="1173"/>
      <c r="AH45" s="1173"/>
      <c r="AI45" s="1173"/>
      <c r="AJ45" s="1173"/>
      <c r="AK45" s="1173"/>
      <c r="AL45" s="1173"/>
      <c r="AM45" s="1173"/>
      <c r="AN45" s="1174"/>
      <c r="AO45" s="1174"/>
      <c r="AP45" s="1174"/>
      <c r="AQ45" s="1174"/>
      <c r="AR45" s="1174"/>
      <c r="AS45" s="1174"/>
      <c r="AT45" s="1174"/>
      <c r="AU45" s="1174"/>
      <c r="AV45" s="1174"/>
      <c r="AW45" s="1174"/>
      <c r="AX45" s="1174"/>
      <c r="AY45" s="1174"/>
      <c r="AZ45" s="1174"/>
      <c r="BA45" s="1174"/>
      <c r="BB45" s="1174"/>
      <c r="BC45" s="1174"/>
      <c r="BD45" s="1174"/>
      <c r="BE45" s="1174"/>
      <c r="BF45" s="1174"/>
      <c r="BG45" s="1174"/>
      <c r="BH45" s="1174"/>
      <c r="BI45" s="1174"/>
      <c r="BJ45" s="1174"/>
      <c r="BK45" s="1174"/>
      <c r="BL45" s="1174"/>
      <c r="BM45" s="1174"/>
      <c r="BN45" s="2200">
        <f>'GENERAL INFO'!G119</f>
        <v>0</v>
      </c>
      <c r="BO45" s="2201"/>
      <c r="BP45" s="2201"/>
      <c r="BQ45" s="2201"/>
      <c r="BR45" s="2201"/>
      <c r="BS45" s="2201"/>
      <c r="BT45" s="2201"/>
      <c r="BU45" s="2201"/>
      <c r="BV45" s="2201"/>
      <c r="BW45" s="2201"/>
      <c r="BX45" s="2201"/>
      <c r="BY45" s="2201"/>
      <c r="BZ45" s="2201"/>
      <c r="CA45" s="2201"/>
      <c r="CB45" s="2201"/>
      <c r="CC45" s="2201"/>
      <c r="CD45" s="1139"/>
      <c r="CE45" s="1138"/>
      <c r="CF45" s="1138"/>
    </row>
    <row r="46" spans="2:84" s="1126" customFormat="1" ht="20.15" customHeight="1">
      <c r="B46" s="2192" t="s">
        <v>388</v>
      </c>
      <c r="C46" s="2193"/>
      <c r="D46" s="2210" t="s">
        <v>1247</v>
      </c>
      <c r="E46" s="1173"/>
      <c r="F46" s="1173"/>
      <c r="G46" s="1173"/>
      <c r="H46" s="1173"/>
      <c r="I46" s="1173"/>
      <c r="J46" s="1173"/>
      <c r="K46" s="1173"/>
      <c r="L46" s="1173"/>
      <c r="M46" s="1173"/>
      <c r="N46" s="1173"/>
      <c r="O46" s="1173"/>
      <c r="P46" s="1173"/>
      <c r="Q46" s="1173"/>
      <c r="R46" s="1173"/>
      <c r="S46" s="1173"/>
      <c r="T46" s="1173"/>
      <c r="U46" s="1173"/>
      <c r="V46" s="1173"/>
      <c r="W46" s="1173"/>
      <c r="X46" s="1173"/>
      <c r="Y46" s="1173"/>
      <c r="Z46" s="1173"/>
      <c r="AA46" s="1173"/>
      <c r="AB46" s="1173"/>
      <c r="AC46" s="1173"/>
      <c r="AD46" s="1173"/>
      <c r="AE46" s="1173"/>
      <c r="AF46" s="1173"/>
      <c r="AG46" s="1173"/>
      <c r="AH46" s="1173"/>
      <c r="AI46" s="1173"/>
      <c r="AJ46" s="1173"/>
      <c r="AK46" s="1173"/>
      <c r="AL46" s="1173"/>
      <c r="AM46" s="1173"/>
      <c r="AN46" s="1173"/>
      <c r="AO46" s="1173"/>
      <c r="AP46" s="1173"/>
      <c r="AQ46" s="1173"/>
      <c r="AR46" s="1173"/>
      <c r="AS46" s="1173"/>
      <c r="AT46" s="1173"/>
      <c r="AU46" s="1173"/>
      <c r="AV46" s="1173"/>
      <c r="AW46" s="1175"/>
      <c r="AX46" s="1174"/>
      <c r="AY46" s="1174"/>
      <c r="AZ46" s="1174"/>
      <c r="BA46" s="1174"/>
      <c r="BB46" s="1174"/>
      <c r="BC46" s="1174"/>
      <c r="BD46" s="1174"/>
      <c r="BE46" s="1174"/>
      <c r="BF46" s="1174"/>
      <c r="BG46" s="1174"/>
      <c r="BH46" s="1174"/>
      <c r="BI46" s="1174"/>
      <c r="BJ46" s="1174"/>
      <c r="BK46" s="1174"/>
      <c r="BL46" s="1174"/>
      <c r="BM46" s="1174"/>
      <c r="BN46" s="2200">
        <f>'GENERAL INFO'!G120</f>
        <v>0</v>
      </c>
      <c r="BO46" s="2201"/>
      <c r="BP46" s="2201"/>
      <c r="BQ46" s="2201"/>
      <c r="BR46" s="2201"/>
      <c r="BS46" s="2201"/>
      <c r="BT46" s="2201"/>
      <c r="BU46" s="2201"/>
      <c r="BV46" s="2201"/>
      <c r="BW46" s="2201"/>
      <c r="BX46" s="2201"/>
      <c r="BY46" s="2201"/>
      <c r="BZ46" s="2201"/>
      <c r="CA46" s="2201"/>
      <c r="CB46" s="2201"/>
      <c r="CC46" s="2201"/>
      <c r="CD46" s="1139"/>
      <c r="CE46" s="1138"/>
      <c r="CF46" s="1138"/>
    </row>
    <row r="47" spans="2:84" s="1126" customFormat="1" ht="20.15" customHeight="1">
      <c r="B47" s="2192" t="s">
        <v>389</v>
      </c>
      <c r="C47" s="2193"/>
      <c r="D47" s="2210" t="s">
        <v>1248</v>
      </c>
      <c r="E47" s="1173"/>
      <c r="F47" s="1173"/>
      <c r="G47" s="1173"/>
      <c r="H47" s="1173"/>
      <c r="I47" s="1173"/>
      <c r="J47" s="1173"/>
      <c r="K47" s="1173"/>
      <c r="L47" s="1173"/>
      <c r="M47" s="1173"/>
      <c r="N47" s="1173"/>
      <c r="O47" s="1173"/>
      <c r="P47" s="1173"/>
      <c r="Q47" s="1173"/>
      <c r="R47" s="1173"/>
      <c r="S47" s="1173"/>
      <c r="T47" s="1173"/>
      <c r="U47" s="1173"/>
      <c r="V47" s="1173"/>
      <c r="W47" s="1173"/>
      <c r="X47" s="1173"/>
      <c r="Y47" s="1173"/>
      <c r="Z47" s="1173"/>
      <c r="AA47" s="1173"/>
      <c r="AB47" s="1173"/>
      <c r="AC47" s="1173"/>
      <c r="AD47" s="1173"/>
      <c r="AE47" s="1173"/>
      <c r="AF47" s="1173"/>
      <c r="AG47" s="1173"/>
      <c r="AH47" s="1173"/>
      <c r="AI47" s="1173"/>
      <c r="AJ47" s="1173"/>
      <c r="AK47" s="1173"/>
      <c r="AL47" s="1173"/>
      <c r="AM47" s="1173"/>
      <c r="AN47" s="1173"/>
      <c r="AO47" s="1173"/>
      <c r="AP47" s="1173"/>
      <c r="AQ47" s="1173"/>
      <c r="AR47" s="1173"/>
      <c r="AS47" s="1173"/>
      <c r="AT47" s="1173"/>
      <c r="AU47" s="1173"/>
      <c r="AV47" s="1173"/>
      <c r="AW47" s="1173"/>
      <c r="AX47" s="1173"/>
      <c r="AY47" s="1173"/>
      <c r="AZ47" s="1173"/>
      <c r="BA47" s="1173"/>
      <c r="BB47" s="1173"/>
      <c r="BC47" s="1173"/>
      <c r="BD47" s="1173"/>
      <c r="BE47" s="1173"/>
      <c r="BF47" s="1173"/>
      <c r="BG47" s="1173"/>
      <c r="BH47" s="1173"/>
      <c r="BI47" s="1173"/>
      <c r="BJ47" s="1173"/>
      <c r="BK47" s="1173"/>
      <c r="BL47" s="1173"/>
      <c r="BM47" s="2211"/>
      <c r="BN47" s="2200">
        <f>'GENERAL INFO'!G121</f>
        <v>0</v>
      </c>
      <c r="BO47" s="2201"/>
      <c r="BP47" s="2201"/>
      <c r="BQ47" s="2201"/>
      <c r="BR47" s="2201"/>
      <c r="BS47" s="2201"/>
      <c r="BT47" s="2201"/>
      <c r="BU47" s="2201"/>
      <c r="BV47" s="2201"/>
      <c r="BW47" s="2201"/>
      <c r="BX47" s="2201"/>
      <c r="BY47" s="2201"/>
      <c r="BZ47" s="2201"/>
      <c r="CA47" s="2201"/>
      <c r="CB47" s="2201"/>
      <c r="CC47" s="2201"/>
      <c r="CD47" s="1139"/>
      <c r="CE47" s="1138"/>
      <c r="CF47" s="1138"/>
    </row>
    <row r="48" spans="2:84" s="1126" customFormat="1" ht="20.15" customHeight="1">
      <c r="B48" s="2192" t="s">
        <v>390</v>
      </c>
      <c r="C48" s="2193"/>
      <c r="D48" s="2210" t="s">
        <v>1249</v>
      </c>
      <c r="E48" s="1173"/>
      <c r="F48" s="1173"/>
      <c r="G48" s="1173"/>
      <c r="H48" s="1173"/>
      <c r="I48" s="1173"/>
      <c r="J48" s="1173"/>
      <c r="K48" s="1173"/>
      <c r="L48" s="1173"/>
      <c r="M48" s="1173"/>
      <c r="N48" s="1173"/>
      <c r="O48" s="1173"/>
      <c r="P48" s="1173"/>
      <c r="Q48" s="1173"/>
      <c r="R48" s="1173"/>
      <c r="S48" s="1173"/>
      <c r="T48" s="1173"/>
      <c r="U48" s="1173"/>
      <c r="V48" s="1173"/>
      <c r="W48" s="1173"/>
      <c r="X48" s="1173"/>
      <c r="Y48" s="1173"/>
      <c r="Z48" s="1173"/>
      <c r="AA48" s="1173"/>
      <c r="AB48" s="1173"/>
      <c r="AC48" s="1173"/>
      <c r="AD48" s="1173"/>
      <c r="AE48" s="1173"/>
      <c r="AF48" s="1173"/>
      <c r="AG48" s="1173"/>
      <c r="AH48" s="1173"/>
      <c r="AI48" s="1173"/>
      <c r="AJ48" s="1173"/>
      <c r="AK48" s="1173"/>
      <c r="AL48" s="1173"/>
      <c r="AM48" s="1173"/>
      <c r="AN48" s="1173"/>
      <c r="AO48" s="1173"/>
      <c r="AP48" s="1173"/>
      <c r="AQ48" s="1173"/>
      <c r="AR48" s="1173"/>
      <c r="AS48" s="1173"/>
      <c r="AT48" s="1173"/>
      <c r="AU48" s="1173"/>
      <c r="AV48" s="1173"/>
      <c r="AW48" s="1173"/>
      <c r="AX48" s="1173"/>
      <c r="AY48" s="1173"/>
      <c r="AZ48" s="1173"/>
      <c r="BA48" s="1173"/>
      <c r="BB48" s="1173"/>
      <c r="BC48" s="1173"/>
      <c r="BD48" s="1173"/>
      <c r="BE48" s="1173"/>
      <c r="BF48" s="1173"/>
      <c r="BG48" s="1173"/>
      <c r="BH48" s="1173"/>
      <c r="BI48" s="1173"/>
      <c r="BJ48" s="1173"/>
      <c r="BK48" s="1173"/>
      <c r="BL48" s="1173"/>
      <c r="BM48" s="2211"/>
      <c r="BN48" s="2200">
        <f>'GENERAL INFO'!G122</f>
        <v>0</v>
      </c>
      <c r="BO48" s="2201"/>
      <c r="BP48" s="2201"/>
      <c r="BQ48" s="2201"/>
      <c r="BR48" s="2201"/>
      <c r="BS48" s="2201"/>
      <c r="BT48" s="2201"/>
      <c r="BU48" s="2201"/>
      <c r="BV48" s="2201"/>
      <c r="BW48" s="2201"/>
      <c r="BX48" s="2201"/>
      <c r="BY48" s="2201"/>
      <c r="BZ48" s="2201"/>
      <c r="CA48" s="2201"/>
      <c r="CB48" s="2201"/>
      <c r="CC48" s="2201"/>
      <c r="CD48" s="1139"/>
      <c r="CE48" s="1138"/>
      <c r="CF48" s="1138"/>
    </row>
    <row r="49" spans="2:84" s="1126" customFormat="1" ht="20.15" customHeight="1">
      <c r="B49" s="2192" t="s">
        <v>391</v>
      </c>
      <c r="C49" s="2193"/>
      <c r="D49" s="2210" t="s">
        <v>1313</v>
      </c>
      <c r="E49" s="2212"/>
      <c r="F49" s="2212"/>
      <c r="G49" s="2212"/>
      <c r="H49" s="2212"/>
      <c r="I49" s="2212"/>
      <c r="J49" s="2212"/>
      <c r="K49" s="2212"/>
      <c r="L49" s="2212"/>
      <c r="M49" s="2212"/>
      <c r="N49" s="2212"/>
      <c r="O49" s="2212"/>
      <c r="P49" s="2212"/>
      <c r="Q49" s="2212"/>
      <c r="R49" s="2212"/>
      <c r="S49" s="2212"/>
      <c r="T49" s="2212"/>
      <c r="U49" s="2212"/>
      <c r="V49" s="2212"/>
      <c r="W49" s="2212"/>
      <c r="X49" s="2212"/>
      <c r="Y49" s="2212"/>
      <c r="Z49" s="2212"/>
      <c r="AA49" s="2212"/>
      <c r="AB49" s="2212"/>
      <c r="AC49" s="2212"/>
      <c r="AD49" s="2212"/>
      <c r="AE49" s="2212"/>
      <c r="AF49" s="2212"/>
      <c r="AG49" s="2212"/>
      <c r="AH49" s="2212"/>
      <c r="AI49" s="2212"/>
      <c r="AJ49" s="2212"/>
      <c r="AK49" s="2212"/>
      <c r="AL49" s="2212"/>
      <c r="AM49" s="2212"/>
      <c r="AN49" s="2212"/>
      <c r="AO49" s="2212"/>
      <c r="AP49" s="2212"/>
      <c r="AQ49" s="2212"/>
      <c r="AR49" s="2212"/>
      <c r="AS49" s="2212"/>
      <c r="AT49" s="2212"/>
      <c r="AU49" s="2212"/>
      <c r="AV49" s="2212"/>
      <c r="AW49" s="2212"/>
      <c r="AX49" s="2212"/>
      <c r="AY49" s="2212"/>
      <c r="AZ49" s="2212"/>
      <c r="BA49" s="2212"/>
      <c r="BB49" s="2212"/>
      <c r="BC49" s="2212"/>
      <c r="BD49" s="2212"/>
      <c r="BE49" s="2212"/>
      <c r="BF49" s="2212"/>
      <c r="BG49" s="2212"/>
      <c r="BH49" s="2212"/>
      <c r="BI49" s="2212"/>
      <c r="BJ49" s="2212"/>
      <c r="BK49" s="2212"/>
      <c r="BL49" s="2212"/>
      <c r="BM49" s="2213"/>
      <c r="BN49" s="2200">
        <f>'GENERAL INFO'!G123</f>
        <v>0</v>
      </c>
      <c r="BO49" s="2201"/>
      <c r="BP49" s="2201"/>
      <c r="BQ49" s="2201"/>
      <c r="BR49" s="2201"/>
      <c r="BS49" s="2201"/>
      <c r="BT49" s="2201"/>
      <c r="BU49" s="2201"/>
      <c r="BV49" s="2201"/>
      <c r="BW49" s="2201"/>
      <c r="BX49" s="2201"/>
      <c r="BY49" s="2201"/>
      <c r="BZ49" s="2201"/>
      <c r="CA49" s="2201"/>
      <c r="CB49" s="2201"/>
      <c r="CC49" s="2201"/>
      <c r="CD49" s="1139"/>
      <c r="CE49" s="1138"/>
      <c r="CF49" s="1138"/>
    </row>
    <row r="50" spans="2:84" s="1126" customFormat="1" ht="25.5" customHeight="1">
      <c r="B50" s="2192" t="s">
        <v>394</v>
      </c>
      <c r="C50" s="2193"/>
      <c r="D50" s="2194" t="s">
        <v>1250</v>
      </c>
      <c r="E50" s="1182"/>
      <c r="F50" s="1182"/>
      <c r="G50" s="1182"/>
      <c r="H50" s="1182"/>
      <c r="I50" s="1182"/>
      <c r="J50" s="1182"/>
      <c r="K50" s="1182"/>
      <c r="L50" s="1182"/>
      <c r="M50" s="1182"/>
      <c r="N50" s="1182"/>
      <c r="O50" s="1182"/>
      <c r="P50" s="1182"/>
      <c r="Q50" s="1182"/>
      <c r="R50" s="1182"/>
      <c r="S50" s="1182"/>
      <c r="T50" s="1182"/>
      <c r="U50" s="1182"/>
      <c r="V50" s="1182"/>
      <c r="W50" s="1182"/>
      <c r="X50" s="1182"/>
      <c r="Y50" s="1182"/>
      <c r="Z50" s="1182"/>
      <c r="AA50" s="1182"/>
      <c r="AB50" s="1182"/>
      <c r="AC50" s="1182"/>
      <c r="AD50" s="1182"/>
      <c r="AE50" s="1182"/>
      <c r="AF50" s="1182"/>
      <c r="AG50" s="1182"/>
      <c r="AH50" s="1182"/>
      <c r="AI50" s="1182"/>
      <c r="AJ50" s="1182"/>
      <c r="AK50" s="1182"/>
      <c r="AL50" s="1182"/>
      <c r="AM50" s="1182"/>
      <c r="AN50" s="1182"/>
      <c r="AO50" s="1182"/>
      <c r="AP50" s="1182"/>
      <c r="AQ50" s="1182"/>
      <c r="AR50" s="1182"/>
      <c r="AS50" s="1182"/>
      <c r="AT50" s="1182"/>
      <c r="AU50" s="1182"/>
      <c r="AV50" s="1182"/>
      <c r="AW50" s="1182"/>
      <c r="AX50" s="1182"/>
      <c r="AY50" s="1182"/>
      <c r="AZ50" s="1174"/>
      <c r="BA50" s="1174"/>
      <c r="BB50" s="1174"/>
      <c r="BC50" s="1174"/>
      <c r="BD50" s="1174"/>
      <c r="BE50" s="1174"/>
      <c r="BF50" s="1176"/>
      <c r="BG50" s="1174"/>
      <c r="BH50" s="1174"/>
      <c r="BI50" s="1174"/>
      <c r="BJ50" s="1174"/>
      <c r="BK50" s="1176"/>
      <c r="BL50" s="1174"/>
      <c r="BM50" s="1174"/>
      <c r="BN50" s="2200">
        <f>'GENERAL INFO'!G124</f>
        <v>0</v>
      </c>
      <c r="BO50" s="2201"/>
      <c r="BP50" s="2201"/>
      <c r="BQ50" s="2201"/>
      <c r="BR50" s="2201"/>
      <c r="BS50" s="2201"/>
      <c r="BT50" s="2201"/>
      <c r="BU50" s="2201"/>
      <c r="BV50" s="2201"/>
      <c r="BW50" s="2201"/>
      <c r="BX50" s="2201"/>
      <c r="BY50" s="2201"/>
      <c r="BZ50" s="2201"/>
      <c r="CA50" s="2201"/>
      <c r="CB50" s="2201"/>
      <c r="CC50" s="2201"/>
      <c r="CD50" s="1139"/>
      <c r="CE50" s="1138"/>
      <c r="CF50" s="1138"/>
    </row>
    <row r="51" spans="2:84" s="1126" customFormat="1" ht="20.15" customHeight="1">
      <c r="B51" s="2208" t="s">
        <v>395</v>
      </c>
      <c r="C51" s="2209"/>
      <c r="D51" s="2194" t="s">
        <v>1314</v>
      </c>
      <c r="E51" s="1182"/>
      <c r="F51" s="1182"/>
      <c r="G51" s="1182"/>
      <c r="H51" s="1182"/>
      <c r="I51" s="1182"/>
      <c r="J51" s="1182"/>
      <c r="K51" s="1182"/>
      <c r="L51" s="1182"/>
      <c r="M51" s="1182"/>
      <c r="N51" s="1182"/>
      <c r="O51" s="1182"/>
      <c r="P51" s="1182"/>
      <c r="Q51" s="1182"/>
      <c r="R51" s="1182"/>
      <c r="S51" s="1182"/>
      <c r="T51" s="1182"/>
      <c r="U51" s="1182"/>
      <c r="V51" s="1182"/>
      <c r="W51" s="1182"/>
      <c r="X51" s="1182"/>
      <c r="Y51" s="1182"/>
      <c r="Z51" s="1182"/>
      <c r="AA51" s="1182"/>
      <c r="AB51" s="1182"/>
      <c r="AC51" s="1182"/>
      <c r="AD51" s="1182"/>
      <c r="AE51" s="1182"/>
      <c r="AF51" s="1182"/>
      <c r="AG51" s="1182"/>
      <c r="AH51" s="1182"/>
      <c r="AI51" s="1182"/>
      <c r="AJ51" s="1182"/>
      <c r="AK51" s="1182"/>
      <c r="AL51" s="1182"/>
      <c r="AM51" s="1182"/>
      <c r="AN51" s="1182"/>
      <c r="AO51" s="1182"/>
      <c r="AP51" s="1182"/>
      <c r="AQ51" s="1182"/>
      <c r="AR51" s="1182"/>
      <c r="AS51" s="1177"/>
      <c r="AT51" s="1177"/>
      <c r="AU51" s="1177"/>
      <c r="AV51" s="1177"/>
      <c r="AW51" s="1174"/>
      <c r="AX51" s="1174"/>
      <c r="AY51" s="1178"/>
      <c r="AZ51" s="1178"/>
      <c r="BA51" s="1178"/>
      <c r="BB51" s="1178"/>
      <c r="BC51" s="1178"/>
      <c r="BD51" s="1178"/>
      <c r="BE51" s="1178"/>
      <c r="BF51" s="1178"/>
      <c r="BG51" s="1178"/>
      <c r="BH51" s="1178"/>
      <c r="BI51" s="1178"/>
      <c r="BJ51" s="1178"/>
      <c r="BK51" s="1174"/>
      <c r="BL51" s="1174"/>
      <c r="BM51" s="1174"/>
      <c r="BN51" s="2200">
        <f>'GENERAL INFO'!G125</f>
        <v>0</v>
      </c>
      <c r="BO51" s="2201"/>
      <c r="BP51" s="2201"/>
      <c r="BQ51" s="2201"/>
      <c r="BR51" s="2201"/>
      <c r="BS51" s="2201"/>
      <c r="BT51" s="2201"/>
      <c r="BU51" s="2201"/>
      <c r="BV51" s="2201"/>
      <c r="BW51" s="2201"/>
      <c r="BX51" s="2201"/>
      <c r="BY51" s="2201"/>
      <c r="BZ51" s="2201"/>
      <c r="CA51" s="2201"/>
      <c r="CB51" s="2201"/>
      <c r="CC51" s="2201"/>
      <c r="CD51" s="1139"/>
      <c r="CE51" s="1138"/>
      <c r="CF51" s="1138"/>
    </row>
    <row r="52" spans="2:84" s="1126" customFormat="1" ht="20.15" customHeight="1">
      <c r="B52" s="2203" t="s">
        <v>1251</v>
      </c>
      <c r="C52" s="2204"/>
      <c r="D52" s="2204"/>
      <c r="E52" s="2204"/>
      <c r="F52" s="2204"/>
      <c r="G52" s="2204"/>
      <c r="H52" s="2204"/>
      <c r="I52" s="2204"/>
      <c r="J52" s="2204"/>
      <c r="K52" s="2204"/>
      <c r="L52" s="2204"/>
      <c r="M52" s="2204"/>
      <c r="N52" s="2204"/>
      <c r="O52" s="2204"/>
      <c r="P52" s="1179"/>
      <c r="Q52" s="1179"/>
      <c r="R52" s="1179"/>
      <c r="S52" s="1179"/>
      <c r="T52" s="1179"/>
      <c r="U52" s="1179"/>
      <c r="V52" s="1179"/>
      <c r="W52" s="1179"/>
      <c r="X52" s="1179"/>
      <c r="Y52" s="1179"/>
      <c r="Z52" s="1179"/>
      <c r="AA52" s="1179"/>
      <c r="AB52" s="1179"/>
      <c r="AC52" s="1179"/>
      <c r="AD52" s="1179"/>
      <c r="AE52" s="1179"/>
      <c r="AF52" s="1179"/>
      <c r="AG52" s="1179"/>
      <c r="AH52" s="1179"/>
      <c r="AI52" s="1179"/>
      <c r="AJ52" s="1179"/>
      <c r="AK52" s="1179"/>
      <c r="AL52" s="1179"/>
      <c r="AM52" s="1179"/>
      <c r="AN52" s="1174"/>
      <c r="AO52" s="1174"/>
      <c r="AP52" s="1174"/>
      <c r="AQ52" s="1174"/>
      <c r="AR52" s="1174"/>
      <c r="AS52" s="1174"/>
      <c r="AT52" s="1174"/>
      <c r="AU52" s="1174"/>
      <c r="AV52" s="1174"/>
      <c r="AW52" s="1174"/>
      <c r="AX52" s="1174"/>
      <c r="AY52" s="1178"/>
      <c r="AZ52" s="1178"/>
      <c r="BA52" s="1178"/>
      <c r="BB52" s="1178"/>
      <c r="BC52" s="1178"/>
      <c r="BD52" s="1178"/>
      <c r="BE52" s="1178"/>
      <c r="BF52" s="1178"/>
      <c r="BG52" s="1178"/>
      <c r="BH52" s="1178"/>
      <c r="BI52" s="1178"/>
      <c r="BJ52" s="1178"/>
      <c r="BK52" s="1174"/>
      <c r="BL52" s="1174"/>
      <c r="BM52" s="1174"/>
      <c r="BN52" s="2205"/>
      <c r="BO52" s="2206"/>
      <c r="BP52" s="2206"/>
      <c r="BQ52" s="2206"/>
      <c r="BR52" s="2206"/>
      <c r="BS52" s="2206"/>
      <c r="BT52" s="2206"/>
      <c r="BU52" s="2206"/>
      <c r="BV52" s="2206"/>
      <c r="BW52" s="2206"/>
      <c r="BX52" s="2206"/>
      <c r="BY52" s="2206"/>
      <c r="BZ52" s="2206"/>
      <c r="CA52" s="2206"/>
      <c r="CB52" s="2206"/>
      <c r="CC52" s="2206"/>
      <c r="CD52" s="2207"/>
      <c r="CE52" s="1138"/>
      <c r="CF52" s="1138"/>
    </row>
    <row r="53" spans="2:84" s="1126" customFormat="1" ht="20.15" customHeight="1">
      <c r="B53" s="2192" t="s">
        <v>396</v>
      </c>
      <c r="C53" s="2193"/>
      <c r="D53" s="2194" t="s">
        <v>1252</v>
      </c>
      <c r="E53" s="1182"/>
      <c r="F53" s="1182"/>
      <c r="G53" s="1182"/>
      <c r="H53" s="1182"/>
      <c r="I53" s="1182"/>
      <c r="J53" s="1182"/>
      <c r="K53" s="1182"/>
      <c r="L53" s="1182"/>
      <c r="M53" s="1182"/>
      <c r="N53" s="1182"/>
      <c r="O53" s="1182"/>
      <c r="P53" s="1182"/>
      <c r="Q53" s="1182"/>
      <c r="R53" s="1182"/>
      <c r="S53" s="1182"/>
      <c r="T53" s="1182"/>
      <c r="U53" s="1182"/>
      <c r="V53" s="1182"/>
      <c r="W53" s="1182"/>
      <c r="X53" s="1182"/>
      <c r="Y53" s="1182"/>
      <c r="Z53" s="1182"/>
      <c r="AA53" s="1182"/>
      <c r="AB53" s="1182"/>
      <c r="AC53" s="1182"/>
      <c r="AD53" s="1182"/>
      <c r="AE53" s="1182"/>
      <c r="AF53" s="1182"/>
      <c r="AG53" s="1182"/>
      <c r="AH53" s="1182"/>
      <c r="AI53" s="1182"/>
      <c r="AJ53" s="1182"/>
      <c r="AK53" s="1182"/>
      <c r="AL53" s="1182"/>
      <c r="AM53" s="1182"/>
      <c r="AN53" s="1182"/>
      <c r="AO53" s="1182"/>
      <c r="AP53" s="1182"/>
      <c r="AQ53" s="1182"/>
      <c r="AR53" s="1182"/>
      <c r="AS53" s="1182"/>
      <c r="AT53" s="1174"/>
      <c r="AU53" s="1174"/>
      <c r="AV53" s="1174"/>
      <c r="AW53" s="1174"/>
      <c r="AX53" s="1174"/>
      <c r="AY53" s="1174"/>
      <c r="AZ53" s="1174"/>
      <c r="BA53" s="1174"/>
      <c r="BB53" s="1174"/>
      <c r="BC53" s="1174"/>
      <c r="BD53" s="1174"/>
      <c r="BE53" s="1174"/>
      <c r="BF53" s="1174"/>
      <c r="BG53" s="1174"/>
      <c r="BH53" s="1174"/>
      <c r="BI53" s="1174"/>
      <c r="BJ53" s="1174"/>
      <c r="BK53" s="1174"/>
      <c r="BL53" s="1174"/>
      <c r="BM53" s="1174"/>
      <c r="BN53" s="2200">
        <f>'GENERAL INFO'!G128</f>
        <v>0</v>
      </c>
      <c r="BO53" s="2201"/>
      <c r="BP53" s="2201"/>
      <c r="BQ53" s="2201"/>
      <c r="BR53" s="2201"/>
      <c r="BS53" s="2201"/>
      <c r="BT53" s="2201"/>
      <c r="BU53" s="2201"/>
      <c r="BV53" s="2201"/>
      <c r="BW53" s="2201"/>
      <c r="BX53" s="2201"/>
      <c r="BY53" s="2201"/>
      <c r="BZ53" s="2201"/>
      <c r="CA53" s="2201"/>
      <c r="CB53" s="2201"/>
      <c r="CC53" s="2201"/>
      <c r="CD53" s="1140"/>
      <c r="CE53" s="1138"/>
      <c r="CF53" s="1138"/>
    </row>
    <row r="54" spans="2:84" s="1126" customFormat="1" ht="20.15" customHeight="1">
      <c r="B54" s="2192" t="s">
        <v>397</v>
      </c>
      <c r="C54" s="2193"/>
      <c r="D54" s="2194" t="s">
        <v>1253</v>
      </c>
      <c r="E54" s="1182"/>
      <c r="F54" s="1182"/>
      <c r="G54" s="1182"/>
      <c r="H54" s="1182"/>
      <c r="I54" s="1182"/>
      <c r="J54" s="1182"/>
      <c r="K54" s="1182"/>
      <c r="L54" s="1182"/>
      <c r="M54" s="1182"/>
      <c r="N54" s="1182"/>
      <c r="O54" s="1182"/>
      <c r="P54" s="1182"/>
      <c r="Q54" s="1182"/>
      <c r="R54" s="1182"/>
      <c r="S54" s="1182"/>
      <c r="T54" s="1182"/>
      <c r="U54" s="1182"/>
      <c r="V54" s="1182"/>
      <c r="W54" s="1182"/>
      <c r="X54" s="1182"/>
      <c r="Y54" s="1182"/>
      <c r="Z54" s="1182"/>
      <c r="AA54" s="1182"/>
      <c r="AB54" s="1182"/>
      <c r="AC54" s="1182"/>
      <c r="AD54" s="1182"/>
      <c r="AE54" s="1182"/>
      <c r="AF54" s="1182"/>
      <c r="AG54" s="1182"/>
      <c r="AH54" s="1182"/>
      <c r="AI54" s="1182"/>
      <c r="AJ54" s="1182"/>
      <c r="AK54" s="1182"/>
      <c r="AL54" s="1182"/>
      <c r="AM54" s="1182"/>
      <c r="AN54" s="1182"/>
      <c r="AO54" s="1182"/>
      <c r="AP54" s="1182"/>
      <c r="AQ54" s="1173"/>
      <c r="AR54" s="1173"/>
      <c r="AS54" s="1173"/>
      <c r="AT54" s="1173"/>
      <c r="AU54" s="1173"/>
      <c r="AV54" s="1173"/>
      <c r="AW54" s="1173"/>
      <c r="AX54" s="1173"/>
      <c r="AY54" s="1173"/>
      <c r="AZ54" s="1173"/>
      <c r="BA54" s="1173"/>
      <c r="BB54" s="1173"/>
      <c r="BC54" s="1173"/>
      <c r="BD54" s="1173"/>
      <c r="BE54" s="1173"/>
      <c r="BF54" s="1180"/>
      <c r="BG54" s="1180"/>
      <c r="BH54" s="1180"/>
      <c r="BI54" s="1180"/>
      <c r="BJ54" s="1180"/>
      <c r="BK54" s="1180"/>
      <c r="BL54" s="1180"/>
      <c r="BM54" s="1180"/>
      <c r="BN54" s="2200">
        <f>'GENERAL INFO'!G130</f>
        <v>0</v>
      </c>
      <c r="BO54" s="2201"/>
      <c r="BP54" s="2201"/>
      <c r="BQ54" s="2201"/>
      <c r="BR54" s="2201"/>
      <c r="BS54" s="2201"/>
      <c r="BT54" s="2201"/>
      <c r="BU54" s="2201"/>
      <c r="BV54" s="2201"/>
      <c r="BW54" s="2201"/>
      <c r="BX54" s="2201"/>
      <c r="BY54" s="2201"/>
      <c r="BZ54" s="2201"/>
      <c r="CA54" s="2201"/>
      <c r="CB54" s="2201"/>
      <c r="CC54" s="2201"/>
      <c r="CD54" s="1140"/>
      <c r="CE54" s="1138"/>
      <c r="CF54" s="1138"/>
    </row>
    <row r="55" spans="2:84" s="1126" customFormat="1" ht="20.15" customHeight="1">
      <c r="B55" s="2192" t="s">
        <v>398</v>
      </c>
      <c r="C55" s="2193"/>
      <c r="D55" s="2194" t="s">
        <v>1315</v>
      </c>
      <c r="E55" s="1182"/>
      <c r="F55" s="1182"/>
      <c r="G55" s="1182"/>
      <c r="H55" s="1182"/>
      <c r="I55" s="1182"/>
      <c r="J55" s="1182"/>
      <c r="K55" s="1182"/>
      <c r="L55" s="1182"/>
      <c r="M55" s="1182"/>
      <c r="N55" s="1182"/>
      <c r="O55" s="1182"/>
      <c r="P55" s="1182"/>
      <c r="Q55" s="1182"/>
      <c r="R55" s="1182"/>
      <c r="S55" s="1182"/>
      <c r="T55" s="1182"/>
      <c r="U55" s="1182"/>
      <c r="V55" s="1182"/>
      <c r="W55" s="1182"/>
      <c r="X55" s="1182"/>
      <c r="Y55" s="1182"/>
      <c r="Z55" s="1182"/>
      <c r="AA55" s="1182"/>
      <c r="AB55" s="1182"/>
      <c r="AC55" s="1182"/>
      <c r="AD55" s="1182"/>
      <c r="AE55" s="1182"/>
      <c r="AF55" s="1182"/>
      <c r="AG55" s="1182"/>
      <c r="AH55" s="1182"/>
      <c r="AI55" s="1182"/>
      <c r="AJ55" s="1182"/>
      <c r="AK55" s="1182"/>
      <c r="AL55" s="1182"/>
      <c r="AM55" s="1182"/>
      <c r="AN55" s="1182"/>
      <c r="AO55" s="1182"/>
      <c r="AP55" s="1182"/>
      <c r="AQ55" s="1182"/>
      <c r="AR55" s="1182"/>
      <c r="AS55" s="1182"/>
      <c r="AT55" s="1182"/>
      <c r="AU55" s="1182"/>
      <c r="AV55" s="1182"/>
      <c r="AW55" s="1182"/>
      <c r="AX55" s="1182"/>
      <c r="AY55" s="1182"/>
      <c r="AZ55" s="1182"/>
      <c r="BA55" s="1182"/>
      <c r="BB55" s="1182"/>
      <c r="BC55" s="1182"/>
      <c r="BD55" s="1182"/>
      <c r="BE55" s="1182"/>
      <c r="BF55" s="1181"/>
      <c r="BG55" s="1181"/>
      <c r="BH55" s="1181"/>
      <c r="BI55" s="1181"/>
      <c r="BJ55" s="1181"/>
      <c r="BK55" s="1181"/>
      <c r="BL55" s="1181"/>
      <c r="BM55" s="1181"/>
      <c r="BN55" s="2200">
        <f>'GENERAL INFO'!G131</f>
        <v>0</v>
      </c>
      <c r="BO55" s="2201"/>
      <c r="BP55" s="2201"/>
      <c r="BQ55" s="2201"/>
      <c r="BR55" s="2201"/>
      <c r="BS55" s="2201"/>
      <c r="BT55" s="2201"/>
      <c r="BU55" s="2201"/>
      <c r="BV55" s="2201"/>
      <c r="BW55" s="2201"/>
      <c r="BX55" s="2201"/>
      <c r="BY55" s="2201"/>
      <c r="BZ55" s="2201"/>
      <c r="CA55" s="2201"/>
      <c r="CB55" s="2201"/>
      <c r="CC55" s="2201"/>
      <c r="CD55" s="1140"/>
      <c r="CE55" s="1138"/>
      <c r="CF55" s="1138"/>
    </row>
    <row r="56" spans="2:84" s="1126" customFormat="1" ht="20.15" customHeight="1">
      <c r="B56" s="2203" t="s">
        <v>1254</v>
      </c>
      <c r="C56" s="2204"/>
      <c r="D56" s="2204"/>
      <c r="E56" s="2204"/>
      <c r="F56" s="2204"/>
      <c r="G56" s="2204"/>
      <c r="H56" s="2204"/>
      <c r="I56" s="2204"/>
      <c r="J56" s="2204"/>
      <c r="K56" s="2204"/>
      <c r="L56" s="2204"/>
      <c r="M56" s="2204"/>
      <c r="N56" s="2204"/>
      <c r="O56" s="2204"/>
      <c r="P56" s="2204"/>
      <c r="Q56" s="2204"/>
      <c r="R56" s="2204"/>
      <c r="S56" s="2204"/>
      <c r="T56" s="2204"/>
      <c r="U56" s="2204"/>
      <c r="V56" s="2204"/>
      <c r="W56" s="2204"/>
      <c r="X56" s="1177"/>
      <c r="Y56" s="1177"/>
      <c r="Z56" s="1177"/>
      <c r="AA56" s="1177"/>
      <c r="AB56" s="1177"/>
      <c r="AC56" s="1177"/>
      <c r="AD56" s="1177"/>
      <c r="AE56" s="1177"/>
      <c r="AF56" s="1177"/>
      <c r="AG56" s="1177"/>
      <c r="AH56" s="1177"/>
      <c r="AI56" s="1177"/>
      <c r="AJ56" s="1177"/>
      <c r="AK56" s="1177"/>
      <c r="AL56" s="1177"/>
      <c r="AM56" s="1177"/>
      <c r="AN56" s="1177"/>
      <c r="AO56" s="1177"/>
      <c r="AP56" s="1177"/>
      <c r="AQ56" s="1177"/>
      <c r="AR56" s="1177"/>
      <c r="AS56" s="1177"/>
      <c r="AT56" s="1177"/>
      <c r="AU56" s="1177"/>
      <c r="AV56" s="1177"/>
      <c r="AW56" s="1177"/>
      <c r="AX56" s="1177"/>
      <c r="AY56" s="1177"/>
      <c r="AZ56" s="1177"/>
      <c r="BA56" s="1177"/>
      <c r="BB56" s="1177"/>
      <c r="BC56" s="1177"/>
      <c r="BD56" s="1177"/>
      <c r="BE56" s="1177"/>
      <c r="BF56" s="1177"/>
      <c r="BG56" s="1177"/>
      <c r="BH56" s="1177"/>
      <c r="BI56" s="1177"/>
      <c r="BJ56" s="1177"/>
      <c r="BK56" s="1177"/>
      <c r="BL56" s="1177"/>
      <c r="BM56" s="1177"/>
      <c r="BN56" s="2205"/>
      <c r="BO56" s="2206"/>
      <c r="BP56" s="2206"/>
      <c r="BQ56" s="2206"/>
      <c r="BR56" s="2206"/>
      <c r="BS56" s="2206"/>
      <c r="BT56" s="2206"/>
      <c r="BU56" s="2206"/>
      <c r="BV56" s="2206"/>
      <c r="BW56" s="2206"/>
      <c r="BX56" s="2206"/>
      <c r="BY56" s="2206"/>
      <c r="BZ56" s="2206"/>
      <c r="CA56" s="2206"/>
      <c r="CB56" s="2206"/>
      <c r="CC56" s="2206"/>
      <c r="CD56" s="2207"/>
      <c r="CE56" s="1138"/>
      <c r="CF56" s="1138"/>
    </row>
    <row r="57" spans="2:84" s="1126" customFormat="1" ht="20.15" customHeight="1">
      <c r="B57" s="2192" t="s">
        <v>399</v>
      </c>
      <c r="C57" s="2193"/>
      <c r="D57" s="2194" t="s">
        <v>1255</v>
      </c>
      <c r="E57" s="1182"/>
      <c r="F57" s="1182"/>
      <c r="G57" s="1182"/>
      <c r="H57" s="1182"/>
      <c r="I57" s="1182"/>
      <c r="J57" s="1182"/>
      <c r="K57" s="1182"/>
      <c r="L57" s="1182"/>
      <c r="M57" s="1182"/>
      <c r="N57" s="1182"/>
      <c r="O57" s="1182"/>
      <c r="P57" s="1182"/>
      <c r="Q57" s="1182"/>
      <c r="R57" s="1182"/>
      <c r="S57" s="1182"/>
      <c r="T57" s="1182"/>
      <c r="U57" s="1182"/>
      <c r="V57" s="1182"/>
      <c r="W57" s="1182"/>
      <c r="X57" s="1182"/>
      <c r="Y57" s="1182"/>
      <c r="Z57" s="1182"/>
      <c r="AA57" s="1182"/>
      <c r="AB57" s="1182"/>
      <c r="AC57" s="1182"/>
      <c r="AD57" s="1182"/>
      <c r="AE57" s="1182"/>
      <c r="AF57" s="1182"/>
      <c r="AG57" s="1182"/>
      <c r="AH57" s="1182"/>
      <c r="AI57" s="1182"/>
      <c r="AJ57" s="1182"/>
      <c r="AK57" s="1182"/>
      <c r="AL57" s="1182"/>
      <c r="AM57" s="1182"/>
      <c r="AN57" s="1182"/>
      <c r="AO57" s="1182"/>
      <c r="AP57" s="1182"/>
      <c r="AQ57" s="1182"/>
      <c r="AR57" s="1182"/>
      <c r="AS57" s="1182"/>
      <c r="AT57" s="1182"/>
      <c r="AU57" s="1182"/>
      <c r="AV57" s="1182"/>
      <c r="AW57" s="1182"/>
      <c r="AX57" s="1182"/>
      <c r="AY57" s="1182"/>
      <c r="AZ57" s="1182"/>
      <c r="BA57" s="1182"/>
      <c r="BB57" s="1182"/>
      <c r="BC57" s="1182"/>
      <c r="BD57" s="1182"/>
      <c r="BE57" s="1182"/>
      <c r="BF57" s="1173"/>
      <c r="BG57" s="1173"/>
      <c r="BH57" s="1173"/>
      <c r="BI57" s="1173"/>
      <c r="BJ57" s="1173"/>
      <c r="BK57" s="1173"/>
      <c r="BL57" s="1173"/>
      <c r="BM57" s="1173"/>
      <c r="BN57" s="2200">
        <f>'GENERAL INFO'!G133</f>
        <v>0</v>
      </c>
      <c r="BO57" s="2201"/>
      <c r="BP57" s="2201"/>
      <c r="BQ57" s="2201"/>
      <c r="BR57" s="2201"/>
      <c r="BS57" s="2201"/>
      <c r="BT57" s="2201"/>
      <c r="BU57" s="2201"/>
      <c r="BV57" s="2201"/>
      <c r="BW57" s="2201"/>
      <c r="BX57" s="2201"/>
      <c r="BY57" s="2201"/>
      <c r="BZ57" s="2201"/>
      <c r="CA57" s="2201"/>
      <c r="CB57" s="2201"/>
      <c r="CC57" s="2201"/>
      <c r="CD57" s="1139"/>
      <c r="CE57" s="1138"/>
      <c r="CF57" s="1138"/>
    </row>
    <row r="58" spans="2:84" s="1126" customFormat="1" ht="20.15" customHeight="1">
      <c r="B58" s="2192" t="s">
        <v>400</v>
      </c>
      <c r="C58" s="2193"/>
      <c r="D58" s="2194" t="s">
        <v>1256</v>
      </c>
      <c r="E58" s="1182"/>
      <c r="F58" s="1182"/>
      <c r="G58" s="1182"/>
      <c r="H58" s="1182"/>
      <c r="I58" s="1182"/>
      <c r="J58" s="1182"/>
      <c r="K58" s="1182"/>
      <c r="L58" s="1182"/>
      <c r="M58" s="1182"/>
      <c r="N58" s="1182"/>
      <c r="O58" s="1182"/>
      <c r="P58" s="1182"/>
      <c r="Q58" s="1182"/>
      <c r="R58" s="1182"/>
      <c r="S58" s="1182"/>
      <c r="T58" s="1182"/>
      <c r="U58" s="1182"/>
      <c r="V58" s="1182"/>
      <c r="W58" s="1182"/>
      <c r="X58" s="1182"/>
      <c r="Y58" s="1182"/>
      <c r="Z58" s="1182"/>
      <c r="AA58" s="1182"/>
      <c r="AB58" s="1182"/>
      <c r="AC58" s="1182"/>
      <c r="AD58" s="1182"/>
      <c r="AE58" s="1182"/>
      <c r="AF58" s="1182"/>
      <c r="AG58" s="1182"/>
      <c r="AH58" s="1182"/>
      <c r="AI58" s="1182"/>
      <c r="AJ58" s="1182"/>
      <c r="AK58" s="1182"/>
      <c r="AL58" s="1182"/>
      <c r="AM58" s="1182"/>
      <c r="AN58" s="1182"/>
      <c r="AO58" s="1182"/>
      <c r="AP58" s="1182"/>
      <c r="AQ58" s="1182"/>
      <c r="AR58" s="1182"/>
      <c r="AS58" s="1182"/>
      <c r="AT58" s="1182"/>
      <c r="AU58" s="1182"/>
      <c r="AV58" s="1182"/>
      <c r="AW58" s="1182"/>
      <c r="AX58" s="1182"/>
      <c r="AY58" s="1182"/>
      <c r="AZ58" s="1182"/>
      <c r="BA58" s="1182"/>
      <c r="BB58" s="1182"/>
      <c r="BC58" s="1182"/>
      <c r="BD58" s="1182"/>
      <c r="BE58" s="1182"/>
      <c r="BF58" s="1182"/>
      <c r="BG58" s="1173"/>
      <c r="BH58" s="1173"/>
      <c r="BI58" s="1173"/>
      <c r="BJ58" s="1173"/>
      <c r="BK58" s="1173"/>
      <c r="BL58" s="1173"/>
      <c r="BM58" s="1173"/>
      <c r="BN58" s="2200">
        <f>'GENERAL INFO'!G136</f>
        <v>0</v>
      </c>
      <c r="BO58" s="2201"/>
      <c r="BP58" s="2201"/>
      <c r="BQ58" s="2201"/>
      <c r="BR58" s="2201"/>
      <c r="BS58" s="2201"/>
      <c r="BT58" s="2201"/>
      <c r="BU58" s="2201"/>
      <c r="BV58" s="2201"/>
      <c r="BW58" s="2201"/>
      <c r="BX58" s="2201"/>
      <c r="BY58" s="2201"/>
      <c r="BZ58" s="2201"/>
      <c r="CA58" s="2201"/>
      <c r="CB58" s="2201"/>
      <c r="CC58" s="2201"/>
      <c r="CD58" s="1139"/>
      <c r="CE58" s="1138"/>
      <c r="CF58" s="1138"/>
    </row>
    <row r="59" spans="2:84" s="1126" customFormat="1" ht="20.15" customHeight="1">
      <c r="B59" s="2192" t="s">
        <v>401</v>
      </c>
      <c r="C59" s="2193"/>
      <c r="D59" s="2194" t="s">
        <v>1316</v>
      </c>
      <c r="E59" s="1182"/>
      <c r="F59" s="1182"/>
      <c r="G59" s="1182"/>
      <c r="H59" s="1182"/>
      <c r="I59" s="1182"/>
      <c r="J59" s="1182"/>
      <c r="K59" s="1182"/>
      <c r="L59" s="1182"/>
      <c r="M59" s="1182"/>
      <c r="N59" s="1182"/>
      <c r="O59" s="1182"/>
      <c r="P59" s="1182"/>
      <c r="Q59" s="1182"/>
      <c r="R59" s="1182"/>
      <c r="S59" s="1182"/>
      <c r="T59" s="1182"/>
      <c r="U59" s="1182"/>
      <c r="V59" s="1182"/>
      <c r="W59" s="1182"/>
      <c r="X59" s="1182"/>
      <c r="Y59" s="1182"/>
      <c r="Z59" s="1182"/>
      <c r="AA59" s="1182"/>
      <c r="AB59" s="1182"/>
      <c r="AC59" s="1182"/>
      <c r="AD59" s="1182"/>
      <c r="AE59" s="1182"/>
      <c r="AF59" s="1182"/>
      <c r="AG59" s="1182"/>
      <c r="AH59" s="1182"/>
      <c r="AI59" s="1182"/>
      <c r="AJ59" s="1182"/>
      <c r="AK59" s="1182"/>
      <c r="AL59" s="1182"/>
      <c r="AM59" s="1182"/>
      <c r="AN59" s="1182"/>
      <c r="AO59" s="1182"/>
      <c r="AP59" s="1182"/>
      <c r="AQ59" s="1182"/>
      <c r="AR59" s="1182"/>
      <c r="AS59" s="1182"/>
      <c r="AT59" s="1182"/>
      <c r="AU59" s="1182"/>
      <c r="AV59" s="1182"/>
      <c r="AW59" s="1182"/>
      <c r="AX59" s="1182"/>
      <c r="AY59" s="1182"/>
      <c r="AZ59" s="1182"/>
      <c r="BA59" s="1182"/>
      <c r="BB59" s="1182"/>
      <c r="BC59" s="1182"/>
      <c r="BD59" s="1182"/>
      <c r="BE59" s="1182"/>
      <c r="BF59" s="1182"/>
      <c r="BG59" s="1182"/>
      <c r="BH59" s="1182"/>
      <c r="BI59" s="1182"/>
      <c r="BJ59" s="1182"/>
      <c r="BK59" s="1182"/>
      <c r="BL59" s="1182"/>
      <c r="BM59" s="2202"/>
      <c r="BN59" s="2200">
        <f>'GENERAL INFO'!G141</f>
        <v>0</v>
      </c>
      <c r="BO59" s="2201"/>
      <c r="BP59" s="2201"/>
      <c r="BQ59" s="2201"/>
      <c r="BR59" s="2201"/>
      <c r="BS59" s="2201"/>
      <c r="BT59" s="2201"/>
      <c r="BU59" s="2201"/>
      <c r="BV59" s="2201"/>
      <c r="BW59" s="2201"/>
      <c r="BX59" s="2201"/>
      <c r="BY59" s="2201"/>
      <c r="BZ59" s="2201"/>
      <c r="CA59" s="2201"/>
      <c r="CB59" s="2201"/>
      <c r="CC59" s="2201"/>
      <c r="CD59" s="1139"/>
      <c r="CE59" s="1138"/>
      <c r="CF59" s="1138"/>
    </row>
    <row r="60" spans="2:84" s="1126" customFormat="1" ht="20.15" customHeight="1">
      <c r="B60" s="2192" t="s">
        <v>402</v>
      </c>
      <c r="C60" s="2193"/>
      <c r="D60" s="2197" t="s">
        <v>777</v>
      </c>
      <c r="E60" s="2198"/>
      <c r="F60" s="2198"/>
      <c r="G60" s="2198"/>
      <c r="H60" s="2198"/>
      <c r="I60" s="2198"/>
      <c r="J60" s="2198"/>
      <c r="K60" s="2198"/>
      <c r="L60" s="2198"/>
      <c r="M60" s="2198"/>
      <c r="N60" s="2198"/>
      <c r="O60" s="2198"/>
      <c r="P60" s="2198"/>
      <c r="Q60" s="2198"/>
      <c r="R60" s="2198"/>
      <c r="S60" s="2198"/>
      <c r="T60" s="2198"/>
      <c r="U60" s="2198"/>
      <c r="V60" s="2198"/>
      <c r="W60" s="2198"/>
      <c r="X60" s="2198"/>
      <c r="Y60" s="2198"/>
      <c r="Z60" s="2198"/>
      <c r="AA60" s="2198"/>
      <c r="AB60" s="2198"/>
      <c r="AC60" s="2198"/>
      <c r="AD60" s="2198"/>
      <c r="AE60" s="2198"/>
      <c r="AF60" s="2198"/>
      <c r="AG60" s="2198"/>
      <c r="AH60" s="2198"/>
      <c r="AI60" s="2198"/>
      <c r="AJ60" s="2198"/>
      <c r="AK60" s="2198"/>
      <c r="AL60" s="2198"/>
      <c r="AM60" s="2198"/>
      <c r="AN60" s="2198"/>
      <c r="AO60" s="2198"/>
      <c r="AP60" s="2198"/>
      <c r="AQ60" s="2198"/>
      <c r="AR60" s="2198"/>
      <c r="AS60" s="2198"/>
      <c r="AT60" s="2198"/>
      <c r="AU60" s="2198"/>
      <c r="AV60" s="2198"/>
      <c r="AW60" s="2198"/>
      <c r="AX60" s="2198"/>
      <c r="AY60" s="2198"/>
      <c r="AZ60" s="2198"/>
      <c r="BA60" s="2198"/>
      <c r="BB60" s="2198"/>
      <c r="BC60" s="2198"/>
      <c r="BD60" s="2198"/>
      <c r="BE60" s="2198"/>
      <c r="BF60" s="2198"/>
      <c r="BG60" s="2198"/>
      <c r="BH60" s="2198"/>
      <c r="BI60" s="2198"/>
      <c r="BJ60" s="2198"/>
      <c r="BK60" s="2198"/>
      <c r="BL60" s="2198"/>
      <c r="BM60" s="2199"/>
      <c r="BN60" s="2195">
        <f>personalreliefs</f>
        <v>0</v>
      </c>
      <c r="BO60" s="2196"/>
      <c r="BP60" s="2196"/>
      <c r="BQ60" s="2196"/>
      <c r="BR60" s="2196"/>
      <c r="BS60" s="2196"/>
      <c r="BT60" s="2196"/>
      <c r="BU60" s="2196"/>
      <c r="BV60" s="2196"/>
      <c r="BW60" s="2196"/>
      <c r="BX60" s="2196"/>
      <c r="BY60" s="2196"/>
      <c r="BZ60" s="2196"/>
      <c r="CA60" s="2196"/>
      <c r="CB60" s="2196"/>
      <c r="CC60" s="2196"/>
      <c r="CD60" s="1141"/>
      <c r="CE60" s="1138"/>
      <c r="CF60" s="1138"/>
    </row>
    <row r="61" spans="2:84" s="1126" customFormat="1" ht="20.15" customHeight="1">
      <c r="B61" s="2192" t="s">
        <v>403</v>
      </c>
      <c r="C61" s="2193"/>
      <c r="D61" s="2194" t="s">
        <v>1317</v>
      </c>
      <c r="E61" s="1182"/>
      <c r="F61" s="1182"/>
      <c r="G61" s="1182"/>
      <c r="H61" s="1182"/>
      <c r="I61" s="1182"/>
      <c r="J61" s="1182"/>
      <c r="K61" s="1182"/>
      <c r="L61" s="1182"/>
      <c r="M61" s="1182"/>
      <c r="N61" s="1182"/>
      <c r="O61" s="1182"/>
      <c r="P61" s="1182"/>
      <c r="Q61" s="1182"/>
      <c r="R61" s="1182"/>
      <c r="S61" s="1182"/>
      <c r="T61" s="1182"/>
      <c r="U61" s="1182"/>
      <c r="V61" s="1182"/>
      <c r="W61" s="1182"/>
      <c r="X61" s="1182"/>
      <c r="Y61" s="1182"/>
      <c r="Z61" s="1182"/>
      <c r="AA61" s="1182"/>
      <c r="AB61" s="1182"/>
      <c r="AC61" s="1182"/>
      <c r="AD61" s="1182"/>
      <c r="AE61" s="1182"/>
      <c r="AF61" s="1182"/>
      <c r="AG61" s="1182"/>
      <c r="AH61" s="1182"/>
      <c r="AI61" s="1182"/>
      <c r="AJ61" s="1182"/>
      <c r="AK61" s="1182"/>
      <c r="AL61" s="1182"/>
      <c r="AM61" s="1182"/>
      <c r="AN61" s="1182"/>
      <c r="AO61" s="1182"/>
      <c r="AP61" s="1182"/>
      <c r="AQ61" s="1182"/>
      <c r="AR61" s="1182"/>
      <c r="AS61" s="1182"/>
      <c r="AT61" s="1182"/>
      <c r="AU61" s="1182"/>
      <c r="AV61" s="1182"/>
      <c r="AW61" s="1182"/>
      <c r="AX61" s="1182"/>
      <c r="AY61" s="1182"/>
      <c r="AZ61" s="1182"/>
      <c r="BA61" s="1182"/>
      <c r="BB61" s="1182"/>
      <c r="BC61" s="1182"/>
      <c r="BD61" s="1182"/>
      <c r="BE61" s="1182"/>
      <c r="BF61" s="1182"/>
      <c r="BG61" s="1182"/>
      <c r="BH61" s="1182"/>
      <c r="BI61" s="1182"/>
      <c r="BJ61" s="1182"/>
      <c r="BK61" s="1182"/>
      <c r="BL61" s="1182"/>
      <c r="BM61" s="1182"/>
      <c r="BN61" s="2195">
        <f>BN59-BN60</f>
        <v>0</v>
      </c>
      <c r="BO61" s="2196"/>
      <c r="BP61" s="2196"/>
      <c r="BQ61" s="2196"/>
      <c r="BR61" s="2196"/>
      <c r="BS61" s="2196"/>
      <c r="BT61" s="2196"/>
      <c r="BU61" s="2196"/>
      <c r="BV61" s="2196"/>
      <c r="BW61" s="2196"/>
      <c r="BX61" s="2196"/>
      <c r="BY61" s="2196"/>
      <c r="BZ61" s="2196"/>
      <c r="CA61" s="2196"/>
      <c r="CB61" s="2196"/>
      <c r="CC61" s="2196"/>
      <c r="CD61" s="1141"/>
      <c r="CE61" s="1138"/>
      <c r="CF61" s="1138"/>
    </row>
    <row r="62" spans="2:84" s="1126" customFormat="1" ht="20.15" customHeight="1">
      <c r="B62" s="2192" t="s">
        <v>404</v>
      </c>
      <c r="C62" s="2193"/>
      <c r="D62" s="2194" t="s">
        <v>1318</v>
      </c>
      <c r="E62" s="1182"/>
      <c r="F62" s="1182"/>
      <c r="G62" s="1182"/>
      <c r="H62" s="1182"/>
      <c r="I62" s="1182"/>
      <c r="J62" s="1182"/>
      <c r="K62" s="1182"/>
      <c r="L62" s="1182"/>
      <c r="M62" s="1182"/>
      <c r="N62" s="1182"/>
      <c r="O62" s="1182"/>
      <c r="P62" s="1182"/>
      <c r="Q62" s="1182"/>
      <c r="R62" s="1182"/>
      <c r="S62" s="1182"/>
      <c r="T62" s="1182"/>
      <c r="U62" s="1182"/>
      <c r="V62" s="1182"/>
      <c r="W62" s="1182"/>
      <c r="X62" s="1182"/>
      <c r="Y62" s="1182"/>
      <c r="Z62" s="1182"/>
      <c r="AA62" s="1182"/>
      <c r="AB62" s="1182"/>
      <c r="AC62" s="1182"/>
      <c r="AD62" s="1182"/>
      <c r="AE62" s="1182"/>
      <c r="AF62" s="1182"/>
      <c r="AG62" s="1182"/>
      <c r="AH62" s="1182"/>
      <c r="AI62" s="1182"/>
      <c r="AJ62" s="1182"/>
      <c r="AK62" s="1182"/>
      <c r="AL62" s="1182"/>
      <c r="AM62" s="1182"/>
      <c r="AN62" s="1182"/>
      <c r="AO62" s="1182"/>
      <c r="AP62" s="1182"/>
      <c r="AQ62" s="1182"/>
      <c r="AR62" s="1182"/>
      <c r="AS62" s="1182"/>
      <c r="AT62" s="1182"/>
      <c r="AU62" s="1182"/>
      <c r="AV62" s="1182"/>
      <c r="AW62" s="1182"/>
      <c r="AX62" s="1182"/>
      <c r="AY62" s="1182"/>
      <c r="AZ62" s="1182"/>
      <c r="BA62" s="1182"/>
      <c r="BB62" s="1182"/>
      <c r="BC62" s="1182"/>
      <c r="BD62" s="1182"/>
      <c r="BE62" s="1182"/>
      <c r="BF62" s="1182"/>
      <c r="BG62" s="1182"/>
      <c r="BH62" s="1182"/>
      <c r="BI62" s="1182"/>
      <c r="BJ62" s="1182"/>
      <c r="BK62" s="1182"/>
      <c r="BL62" s="1183"/>
      <c r="BM62" s="1183"/>
      <c r="BN62" s="2195">
        <f>'GENERAL INFO'!G145</f>
        <v>0</v>
      </c>
      <c r="BO62" s="2196"/>
      <c r="BP62" s="2196"/>
      <c r="BQ62" s="2196"/>
      <c r="BR62" s="2196"/>
      <c r="BS62" s="2196"/>
      <c r="BT62" s="2196"/>
      <c r="BU62" s="2196"/>
      <c r="BV62" s="2196"/>
      <c r="BW62" s="2196"/>
      <c r="BX62" s="2196"/>
      <c r="BY62" s="2196"/>
      <c r="BZ62" s="2196"/>
      <c r="CA62" s="2196"/>
      <c r="CB62" s="2196"/>
      <c r="CC62" s="2196"/>
      <c r="CD62" s="1141"/>
      <c r="CE62" s="1138"/>
      <c r="CF62" s="1138"/>
    </row>
    <row r="63" spans="2:84" s="1126" customFormat="1" ht="20.15" customHeight="1">
      <c r="B63" s="2192" t="s">
        <v>405</v>
      </c>
      <c r="C63" s="2193"/>
      <c r="D63" s="2194" t="s">
        <v>1319</v>
      </c>
      <c r="E63" s="1182"/>
      <c r="F63" s="1182"/>
      <c r="G63" s="1182"/>
      <c r="H63" s="1182"/>
      <c r="I63" s="1182"/>
      <c r="J63" s="1182"/>
      <c r="K63" s="1182"/>
      <c r="L63" s="1182"/>
      <c r="M63" s="1182"/>
      <c r="N63" s="1182"/>
      <c r="O63" s="1182"/>
      <c r="P63" s="1182"/>
      <c r="Q63" s="1182"/>
      <c r="R63" s="1182"/>
      <c r="S63" s="1182"/>
      <c r="T63" s="1182"/>
      <c r="U63" s="1182"/>
      <c r="V63" s="1182"/>
      <c r="W63" s="1182"/>
      <c r="X63" s="1182"/>
      <c r="Y63" s="1182"/>
      <c r="Z63" s="1182"/>
      <c r="AA63" s="1182"/>
      <c r="AB63" s="1182"/>
      <c r="AC63" s="1182"/>
      <c r="AD63" s="1182"/>
      <c r="AE63" s="1182"/>
      <c r="AF63" s="1182"/>
      <c r="AG63" s="1182"/>
      <c r="AH63" s="1182"/>
      <c r="AI63" s="1182"/>
      <c r="AJ63" s="1182"/>
      <c r="AK63" s="1182"/>
      <c r="AL63" s="1182"/>
      <c r="AM63" s="1182"/>
      <c r="AN63" s="1182"/>
      <c r="AO63" s="1182"/>
      <c r="AP63" s="1182"/>
      <c r="AQ63" s="1182"/>
      <c r="AR63" s="1182"/>
      <c r="AS63" s="1182"/>
      <c r="AT63" s="1182"/>
      <c r="AU63" s="1182"/>
      <c r="AV63" s="1182"/>
      <c r="AW63" s="1182"/>
      <c r="AX63" s="1182"/>
      <c r="AY63" s="1182"/>
      <c r="AZ63" s="1182"/>
      <c r="BA63" s="1182"/>
      <c r="BB63" s="1182"/>
      <c r="BC63" s="1182"/>
      <c r="BD63" s="1182"/>
      <c r="BE63" s="1182"/>
      <c r="BF63" s="1182"/>
      <c r="BG63" s="1182"/>
      <c r="BH63" s="1182"/>
      <c r="BI63" s="1182"/>
      <c r="BJ63" s="1182"/>
      <c r="BK63" s="1182"/>
      <c r="BL63" s="1183"/>
      <c r="BM63" s="1183"/>
      <c r="BN63" s="2195">
        <f>'GENERAL INFO'!G137</f>
        <v>0</v>
      </c>
      <c r="BO63" s="2196"/>
      <c r="BP63" s="2196"/>
      <c r="BQ63" s="2196"/>
      <c r="BR63" s="2196"/>
      <c r="BS63" s="2196"/>
      <c r="BT63" s="2196"/>
      <c r="BU63" s="2196"/>
      <c r="BV63" s="2196"/>
      <c r="BW63" s="2196"/>
      <c r="BX63" s="2196"/>
      <c r="BY63" s="2196"/>
      <c r="BZ63" s="2196"/>
      <c r="CA63" s="2196"/>
      <c r="CB63" s="2196"/>
      <c r="CC63" s="2196"/>
      <c r="CD63" s="1141"/>
      <c r="CE63" s="1138"/>
      <c r="CF63" s="1138"/>
    </row>
    <row r="64" spans="2:84" s="1126" customFormat="1" ht="20.15" customHeight="1">
      <c r="B64" s="2192" t="s">
        <v>468</v>
      </c>
      <c r="C64" s="2193"/>
      <c r="D64" s="2194" t="s">
        <v>1320</v>
      </c>
      <c r="E64" s="1182"/>
      <c r="F64" s="1182"/>
      <c r="G64" s="1182"/>
      <c r="H64" s="1182"/>
      <c r="I64" s="1182"/>
      <c r="J64" s="1182"/>
      <c r="K64" s="1182"/>
      <c r="L64" s="1182"/>
      <c r="M64" s="1182"/>
      <c r="N64" s="1182"/>
      <c r="O64" s="1182"/>
      <c r="P64" s="1182"/>
      <c r="Q64" s="1182"/>
      <c r="R64" s="1182"/>
      <c r="S64" s="1182"/>
      <c r="T64" s="1182"/>
      <c r="U64" s="1182"/>
      <c r="V64" s="1182"/>
      <c r="W64" s="1182"/>
      <c r="X64" s="1182"/>
      <c r="Y64" s="1182"/>
      <c r="Z64" s="1182"/>
      <c r="AA64" s="1182"/>
      <c r="AB64" s="1182"/>
      <c r="AC64" s="1182"/>
      <c r="AD64" s="1182"/>
      <c r="AE64" s="1182"/>
      <c r="AF64" s="1182"/>
      <c r="AG64" s="1182"/>
      <c r="AH64" s="1182"/>
      <c r="AI64" s="1182"/>
      <c r="AJ64" s="1182"/>
      <c r="AK64" s="1182"/>
      <c r="AL64" s="1182"/>
      <c r="AM64" s="1182"/>
      <c r="AN64" s="1182"/>
      <c r="AO64" s="1182"/>
      <c r="AP64" s="1182"/>
      <c r="AQ64" s="1182"/>
      <c r="AR64" s="1182"/>
      <c r="AS64" s="1182"/>
      <c r="AT64" s="1182"/>
      <c r="AU64" s="1182"/>
      <c r="AV64" s="1182"/>
      <c r="AW64" s="1182"/>
      <c r="AX64" s="1182"/>
      <c r="AY64" s="1182"/>
      <c r="AZ64" s="1182"/>
      <c r="BA64" s="1182"/>
      <c r="BB64" s="1182"/>
      <c r="BC64" s="1182"/>
      <c r="BD64" s="1182"/>
      <c r="BE64" s="1182"/>
      <c r="BF64" s="1182"/>
      <c r="BG64" s="1182"/>
      <c r="BH64" s="1182"/>
      <c r="BI64" s="1182"/>
      <c r="BJ64" s="1182"/>
      <c r="BK64" s="1182"/>
      <c r="BL64" s="1183"/>
      <c r="BM64" s="1183"/>
      <c r="BN64" s="2195">
        <f>'GENERAL INFO'!G147</f>
        <v>0</v>
      </c>
      <c r="BO64" s="2196"/>
      <c r="BP64" s="2196"/>
      <c r="BQ64" s="2196"/>
      <c r="BR64" s="2196"/>
      <c r="BS64" s="2196"/>
      <c r="BT64" s="2196"/>
      <c r="BU64" s="2196"/>
      <c r="BV64" s="2196"/>
      <c r="BW64" s="2196"/>
      <c r="BX64" s="2196"/>
      <c r="BY64" s="2196"/>
      <c r="BZ64" s="2196"/>
      <c r="CA64" s="2196"/>
      <c r="CB64" s="2196"/>
      <c r="CC64" s="2196"/>
      <c r="CD64" s="1141"/>
      <c r="CE64" s="1138"/>
      <c r="CF64" s="1138"/>
    </row>
    <row r="65" spans="2:84" s="1126" customFormat="1" ht="20.15" customHeight="1">
      <c r="B65" s="2192" t="s">
        <v>469</v>
      </c>
      <c r="C65" s="2193"/>
      <c r="D65" s="2194" t="s">
        <v>1321</v>
      </c>
      <c r="E65" s="1182"/>
      <c r="F65" s="1182"/>
      <c r="G65" s="1182"/>
      <c r="H65" s="1182"/>
      <c r="I65" s="1182"/>
      <c r="J65" s="1182"/>
      <c r="K65" s="1182"/>
      <c r="L65" s="1182"/>
      <c r="M65" s="1182"/>
      <c r="N65" s="1182"/>
      <c r="O65" s="1182"/>
      <c r="P65" s="1182"/>
      <c r="Q65" s="1182"/>
      <c r="R65" s="1182"/>
      <c r="S65" s="1182"/>
      <c r="T65" s="1182"/>
      <c r="U65" s="1182"/>
      <c r="V65" s="1182"/>
      <c r="W65" s="1182"/>
      <c r="X65" s="1182"/>
      <c r="Y65" s="1182"/>
      <c r="Z65" s="1182"/>
      <c r="AA65" s="1182"/>
      <c r="AB65" s="1182"/>
      <c r="AC65" s="1182"/>
      <c r="AD65" s="1182"/>
      <c r="AE65" s="1182"/>
      <c r="AF65" s="1182"/>
      <c r="AG65" s="1182"/>
      <c r="AH65" s="1182"/>
      <c r="AI65" s="1182"/>
      <c r="AJ65" s="1182"/>
      <c r="AK65" s="1182"/>
      <c r="AL65" s="1182"/>
      <c r="AM65" s="1182"/>
      <c r="AN65" s="1182"/>
      <c r="AO65" s="1182"/>
      <c r="AP65" s="1182"/>
      <c r="AQ65" s="1182"/>
      <c r="AR65" s="1182"/>
      <c r="AS65" s="1182"/>
      <c r="AT65" s="1182"/>
      <c r="AU65" s="1182"/>
      <c r="AV65" s="1182"/>
      <c r="AW65" s="1182"/>
      <c r="AX65" s="1182"/>
      <c r="AY65" s="1182"/>
      <c r="AZ65" s="1182"/>
      <c r="BA65" s="1182"/>
      <c r="BB65" s="1182"/>
      <c r="BC65" s="1182"/>
      <c r="BD65" s="1182"/>
      <c r="BE65" s="1182"/>
      <c r="BF65" s="1182"/>
      <c r="BG65" s="1182"/>
      <c r="BH65" s="1182"/>
      <c r="BI65" s="1183"/>
      <c r="BJ65" s="1183"/>
      <c r="BK65" s="1183"/>
      <c r="BL65" s="1183"/>
      <c r="BM65" s="1184"/>
      <c r="BN65" s="2195">
        <f>+BN64</f>
        <v>0</v>
      </c>
      <c r="BO65" s="2196"/>
      <c r="BP65" s="2196"/>
      <c r="BQ65" s="2196"/>
      <c r="BR65" s="2196"/>
      <c r="BS65" s="2196"/>
      <c r="BT65" s="2196"/>
      <c r="BU65" s="2196"/>
      <c r="BV65" s="2196"/>
      <c r="BW65" s="2196"/>
      <c r="BX65" s="2196"/>
      <c r="BY65" s="2196"/>
      <c r="BZ65" s="2196"/>
      <c r="CA65" s="2196"/>
      <c r="CB65" s="2196"/>
      <c r="CC65" s="2196"/>
      <c r="CD65" s="1141"/>
      <c r="CE65" s="1138"/>
      <c r="CF65" s="1138"/>
    </row>
    <row r="66" spans="2:84" s="1126" customFormat="1" ht="24" customHeight="1">
      <c r="B66" s="2189" t="s">
        <v>1257</v>
      </c>
      <c r="C66" s="2189"/>
      <c r="D66" s="2189"/>
      <c r="E66" s="2189"/>
      <c r="F66" s="2189"/>
      <c r="G66" s="2189"/>
      <c r="H66" s="2189"/>
      <c r="I66" s="2189"/>
      <c r="J66" s="2189"/>
      <c r="K66" s="2189"/>
      <c r="L66" s="2189"/>
      <c r="M66" s="2189"/>
      <c r="N66" s="2189"/>
      <c r="O66" s="2189"/>
      <c r="P66" s="2189"/>
      <c r="Q66" s="2189"/>
      <c r="R66" s="2189"/>
      <c r="S66" s="2189"/>
      <c r="T66" s="2189"/>
      <c r="U66" s="2189"/>
      <c r="V66" s="2189"/>
      <c r="W66" s="2189"/>
      <c r="X66" s="2189"/>
      <c r="Y66" s="2189"/>
      <c r="Z66" s="2189"/>
      <c r="AA66" s="2189"/>
      <c r="AB66" s="2189"/>
      <c r="AC66" s="2189"/>
      <c r="AD66" s="2189"/>
      <c r="AE66" s="2189"/>
      <c r="AF66" s="2189"/>
      <c r="AG66" s="2189"/>
      <c r="AH66" s="1185"/>
      <c r="AI66" s="1185"/>
      <c r="AJ66" s="1185"/>
      <c r="AK66" s="1185"/>
      <c r="AL66" s="1185"/>
      <c r="AM66" s="1185"/>
      <c r="AN66" s="1185"/>
      <c r="AO66" s="1185"/>
      <c r="AP66" s="1185"/>
      <c r="AQ66" s="1185"/>
      <c r="AR66" s="1185"/>
      <c r="AS66" s="1185"/>
      <c r="AT66" s="1185"/>
      <c r="AU66" s="1185"/>
      <c r="AV66" s="1185"/>
      <c r="AW66" s="1185"/>
      <c r="AX66" s="1185"/>
      <c r="AY66" s="1185"/>
      <c r="AZ66" s="1185"/>
      <c r="BA66" s="1185"/>
      <c r="BB66" s="1185"/>
      <c r="BC66" s="1185"/>
      <c r="BD66" s="1185"/>
      <c r="BE66" s="1185"/>
      <c r="BF66" s="1185"/>
      <c r="BG66" s="1185"/>
      <c r="BH66" s="1185"/>
      <c r="BI66" s="1185"/>
      <c r="BJ66" s="1185"/>
      <c r="BK66" s="1185"/>
      <c r="BL66" s="1185"/>
      <c r="BM66" s="1185"/>
      <c r="BN66" s="1185"/>
      <c r="BO66" s="1185"/>
      <c r="BP66" s="1142"/>
      <c r="BQ66" s="1142"/>
      <c r="BR66" s="1142"/>
      <c r="BS66" s="1142"/>
      <c r="BT66" s="1142"/>
      <c r="BU66" s="1142"/>
      <c r="BV66" s="1142"/>
      <c r="BW66" s="1142"/>
      <c r="BX66" s="1142"/>
      <c r="BY66" s="1142"/>
      <c r="BZ66" s="1142"/>
      <c r="CA66" s="1142"/>
      <c r="CB66" s="1142"/>
      <c r="CC66" s="1142"/>
      <c r="CD66" s="1142"/>
      <c r="CE66" s="1138"/>
      <c r="CF66" s="1138"/>
    </row>
    <row r="67" spans="2:84" s="1126" customFormat="1" ht="4.5" customHeight="1" thickBot="1">
      <c r="B67" s="1186"/>
      <c r="C67" s="1186"/>
      <c r="D67" s="1186"/>
      <c r="E67" s="1095"/>
      <c r="F67" s="1187"/>
      <c r="G67" s="1094"/>
      <c r="H67" s="1094"/>
      <c r="I67" s="1094"/>
      <c r="J67" s="1094"/>
      <c r="K67" s="1188"/>
      <c r="L67" s="1188"/>
      <c r="M67" s="1188"/>
      <c r="N67" s="1188"/>
      <c r="O67" s="1188"/>
      <c r="P67" s="1188"/>
      <c r="Q67" s="1188"/>
      <c r="R67" s="1188"/>
      <c r="S67" s="1188"/>
      <c r="T67" s="1188"/>
      <c r="U67" s="1188"/>
      <c r="V67" s="1188"/>
      <c r="W67" s="1188"/>
      <c r="X67" s="1188"/>
      <c r="Y67" s="1188"/>
      <c r="Z67" s="1188"/>
      <c r="AA67" s="1188"/>
      <c r="AB67" s="1188"/>
      <c r="AC67" s="1188"/>
      <c r="AD67" s="1188"/>
      <c r="AE67" s="1188"/>
      <c r="AF67" s="1188"/>
      <c r="AG67" s="1188"/>
      <c r="AH67" s="1188"/>
      <c r="AI67" s="1188"/>
      <c r="AJ67" s="1188"/>
      <c r="AK67" s="1188"/>
      <c r="AL67" s="1188"/>
      <c r="AM67" s="1188"/>
      <c r="AN67" s="1188"/>
      <c r="AO67" s="1188"/>
      <c r="AP67" s="1188"/>
      <c r="AQ67" s="1188"/>
      <c r="AR67" s="1188"/>
      <c r="AS67" s="1188"/>
      <c r="AT67" s="1188"/>
      <c r="AU67" s="1188"/>
      <c r="AV67" s="1188"/>
      <c r="AW67" s="1188"/>
      <c r="AX67" s="1188"/>
      <c r="AY67" s="1188"/>
      <c r="AZ67" s="1188"/>
      <c r="BA67" s="1188"/>
      <c r="BB67" s="1188"/>
      <c r="BC67" s="1188"/>
      <c r="BD67" s="1188"/>
      <c r="BE67" s="1188"/>
      <c r="BF67" s="1188"/>
      <c r="BG67" s="1188"/>
      <c r="BH67" s="1188"/>
      <c r="BI67" s="1188"/>
      <c r="BJ67" s="1188"/>
      <c r="BK67" s="1188"/>
      <c r="BL67" s="1188"/>
      <c r="BM67" s="1188"/>
      <c r="BN67" s="1188"/>
      <c r="BO67" s="1188"/>
      <c r="BP67" s="1146"/>
      <c r="BQ67" s="1146"/>
      <c r="BR67" s="1146"/>
      <c r="BS67" s="1146"/>
      <c r="BT67" s="1146"/>
      <c r="BU67" s="1146"/>
      <c r="BV67" s="1146"/>
      <c r="BW67" s="1146"/>
      <c r="BX67" s="1146"/>
      <c r="BY67" s="1146"/>
      <c r="BZ67" s="1146"/>
      <c r="CA67" s="1146"/>
      <c r="CB67" s="1146"/>
      <c r="CC67" s="1146"/>
      <c r="CD67" s="1146"/>
      <c r="CE67" s="1138"/>
      <c r="CF67" s="1138"/>
    </row>
    <row r="68" spans="2:84" s="1126" customFormat="1" ht="10" customHeight="1">
      <c r="B68" s="1189"/>
      <c r="C68" s="1190"/>
      <c r="D68" s="1190"/>
      <c r="E68" s="1190"/>
      <c r="F68" s="1190"/>
      <c r="G68" s="1190"/>
      <c r="H68" s="1190"/>
      <c r="I68" s="1190"/>
      <c r="J68" s="1190"/>
      <c r="K68" s="1190"/>
      <c r="L68" s="1190"/>
      <c r="M68" s="1190"/>
      <c r="N68" s="1190"/>
      <c r="O68" s="1064"/>
      <c r="P68" s="1064"/>
      <c r="Q68" s="1064"/>
      <c r="R68" s="1064"/>
      <c r="S68" s="1064"/>
      <c r="T68" s="1064"/>
      <c r="U68" s="1064"/>
      <c r="V68" s="1064"/>
      <c r="W68" s="1064"/>
      <c r="X68" s="1064"/>
      <c r="Y68" s="1064"/>
      <c r="Z68" s="1064"/>
      <c r="AA68" s="1064"/>
      <c r="AB68" s="1064"/>
      <c r="AC68" s="1064"/>
      <c r="AD68" s="1064"/>
      <c r="AE68" s="1064"/>
      <c r="AF68" s="1064"/>
      <c r="AG68" s="1064"/>
      <c r="AH68" s="1064"/>
      <c r="AI68" s="1064"/>
      <c r="AJ68" s="1064"/>
      <c r="AK68" s="1064"/>
      <c r="AL68" s="1064"/>
      <c r="AM68" s="1064"/>
      <c r="AN68" s="1064"/>
      <c r="AO68" s="1064"/>
      <c r="AP68" s="1065"/>
      <c r="AQ68" s="1065"/>
      <c r="AR68" s="1065"/>
      <c r="AS68" s="1065"/>
      <c r="AT68" s="1065"/>
      <c r="AU68" s="1065"/>
      <c r="AV68" s="1065"/>
      <c r="AW68" s="1065"/>
      <c r="AX68" s="1065"/>
      <c r="AY68" s="1065"/>
      <c r="AZ68" s="1065"/>
      <c r="BA68" s="1065"/>
      <c r="BB68" s="1065"/>
      <c r="BC68" s="1065"/>
      <c r="BD68" s="1065"/>
      <c r="BE68" s="1065"/>
      <c r="BF68" s="1065"/>
      <c r="BG68" s="1065"/>
      <c r="BH68" s="1065"/>
      <c r="BI68" s="1065"/>
      <c r="BJ68" s="1065"/>
      <c r="BK68" s="1065"/>
      <c r="BL68" s="1065"/>
      <c r="BM68" s="1065"/>
      <c r="BN68" s="1065"/>
      <c r="BO68" s="1065"/>
      <c r="BP68" s="1065"/>
      <c r="BQ68" s="1065"/>
      <c r="BR68" s="1065"/>
      <c r="BS68" s="1065"/>
      <c r="BT68" s="1065"/>
      <c r="BU68" s="1065"/>
      <c r="BV68" s="1065"/>
      <c r="BW68" s="1065"/>
      <c r="BX68" s="1065"/>
      <c r="BY68" s="1065"/>
      <c r="BZ68" s="1065"/>
      <c r="CA68" s="1065"/>
      <c r="CB68" s="1065"/>
      <c r="CC68" s="1065"/>
      <c r="CD68" s="1066"/>
      <c r="CE68" s="1138"/>
      <c r="CF68" s="1138"/>
    </row>
    <row r="69" spans="2:84" s="1126" customFormat="1" ht="13.5" customHeight="1">
      <c r="B69" s="1196" t="s">
        <v>386</v>
      </c>
      <c r="C69" s="1197"/>
      <c r="D69" s="1198" t="s">
        <v>1195</v>
      </c>
      <c r="E69" s="1198"/>
      <c r="F69" s="1198"/>
      <c r="G69" s="1198"/>
      <c r="H69" s="1191" t="s">
        <v>26</v>
      </c>
      <c r="I69" s="1199" t="s">
        <v>1258</v>
      </c>
      <c r="J69" s="1199"/>
      <c r="K69" s="1199"/>
      <c r="L69" s="2190" t="s">
        <v>30</v>
      </c>
      <c r="M69" s="2190"/>
      <c r="N69" s="2190"/>
      <c r="O69" s="2190"/>
      <c r="P69" s="2190"/>
      <c r="Q69" s="2190"/>
      <c r="R69" s="2190"/>
      <c r="S69" s="2190"/>
      <c r="T69" s="2190"/>
      <c r="U69" s="2190"/>
      <c r="V69" s="2190"/>
      <c r="W69" s="2190"/>
      <c r="X69" s="2190"/>
      <c r="Y69" s="2190"/>
      <c r="Z69" s="2190"/>
      <c r="AA69" s="2190"/>
      <c r="AB69" s="2190"/>
      <c r="AC69" s="2190"/>
      <c r="AD69" s="2190"/>
      <c r="AE69" s="2190"/>
      <c r="AF69" s="2190"/>
      <c r="AG69" s="2190"/>
      <c r="AH69" s="2190"/>
      <c r="AI69" s="2190"/>
      <c r="AJ69" s="2190"/>
      <c r="AK69" s="2190"/>
      <c r="AL69" s="2190"/>
      <c r="AM69" s="2190"/>
      <c r="AN69" s="2190"/>
      <c r="AO69" s="2190"/>
      <c r="AP69" s="2190"/>
      <c r="AQ69" s="2190"/>
      <c r="AR69" s="2190"/>
      <c r="AS69" s="1192"/>
      <c r="AT69" s="1192"/>
      <c r="AU69" s="1071"/>
      <c r="AV69" s="2191" t="s">
        <v>1259</v>
      </c>
      <c r="AW69" s="2191"/>
      <c r="AX69" s="2191"/>
      <c r="AY69" s="2191"/>
      <c r="AZ69" s="2191"/>
      <c r="BA69" s="2191"/>
      <c r="BB69" s="2191"/>
      <c r="BC69" s="2191"/>
      <c r="BD69" s="2191"/>
      <c r="BE69" s="2191"/>
      <c r="BF69" s="2191"/>
      <c r="BG69" s="2191"/>
      <c r="BH69" s="2191"/>
      <c r="BI69" s="2191"/>
      <c r="BJ69" s="2191"/>
      <c r="BK69" s="2191"/>
      <c r="BL69" s="2191"/>
      <c r="BM69" s="2191"/>
      <c r="BN69" s="2191"/>
      <c r="BO69" s="1071"/>
      <c r="BP69" s="1098"/>
      <c r="BQ69" s="2177"/>
      <c r="BR69" s="2178"/>
      <c r="BS69" s="2178"/>
      <c r="BT69" s="2178"/>
      <c r="BU69" s="2178"/>
      <c r="BV69" s="2178"/>
      <c r="BW69" s="2178"/>
      <c r="BX69" s="2178"/>
      <c r="BY69" s="2178"/>
      <c r="BZ69" s="2178"/>
      <c r="CA69" s="2178"/>
      <c r="CB69" s="2178"/>
      <c r="CC69" s="2179"/>
      <c r="CD69" s="1072"/>
      <c r="CE69" s="1138"/>
      <c r="CF69" s="1138"/>
    </row>
    <row r="70" spans="2:84" s="1126" customFormat="1" ht="10" customHeight="1">
      <c r="B70" s="1193"/>
      <c r="C70" s="1194"/>
      <c r="D70" s="1194"/>
      <c r="E70" s="1194"/>
      <c r="F70" s="1194"/>
      <c r="G70" s="1194"/>
      <c r="H70" s="1194"/>
      <c r="I70" s="1194"/>
      <c r="J70" s="1195"/>
      <c r="K70" s="1195"/>
      <c r="L70" s="1195"/>
      <c r="M70" s="1194"/>
      <c r="N70" s="1194"/>
      <c r="O70" s="1076"/>
      <c r="P70" s="1076"/>
      <c r="Q70" s="1076"/>
      <c r="R70" s="1077"/>
      <c r="S70" s="1077"/>
      <c r="T70" s="1077"/>
      <c r="U70" s="1077"/>
      <c r="V70" s="1077"/>
      <c r="W70" s="1077"/>
      <c r="X70" s="1077"/>
      <c r="Y70" s="1077"/>
      <c r="Z70" s="1077"/>
      <c r="AA70" s="1077"/>
      <c r="AB70" s="1077"/>
      <c r="AC70" s="1077"/>
      <c r="AD70" s="1077"/>
      <c r="AE70" s="1077"/>
      <c r="AF70" s="1077"/>
      <c r="AG70" s="1077"/>
      <c r="AH70" s="1077"/>
      <c r="AI70" s="1077"/>
      <c r="AJ70" s="1077"/>
      <c r="AK70" s="1077"/>
      <c r="AL70" s="1077"/>
      <c r="AM70" s="1077"/>
      <c r="AN70" s="1077"/>
      <c r="AO70" s="1077"/>
      <c r="AP70" s="1070"/>
      <c r="AQ70" s="1070"/>
      <c r="AR70" s="1070"/>
      <c r="AS70" s="1070"/>
      <c r="AT70" s="1070"/>
      <c r="AU70" s="1070"/>
      <c r="AV70" s="1070"/>
      <c r="AW70" s="1070"/>
      <c r="AX70" s="1070"/>
      <c r="AY70" s="1070"/>
      <c r="AZ70" s="1070"/>
      <c r="BA70" s="1070"/>
      <c r="BB70" s="1070"/>
      <c r="BC70" s="1070"/>
      <c r="BD70" s="1070"/>
      <c r="BE70" s="1070"/>
      <c r="BF70" s="1070"/>
      <c r="BG70" s="1070"/>
      <c r="BH70" s="1070"/>
      <c r="BI70" s="1070"/>
      <c r="BJ70" s="1070"/>
      <c r="BK70" s="1070"/>
      <c r="BL70" s="1070"/>
      <c r="BM70" s="1070"/>
      <c r="BN70" s="1070"/>
      <c r="BO70" s="1070"/>
      <c r="BP70" s="1070"/>
      <c r="BQ70" s="2180"/>
      <c r="BR70" s="1099"/>
      <c r="BS70" s="1099"/>
      <c r="BT70" s="1099"/>
      <c r="BU70" s="1099"/>
      <c r="BV70" s="1099"/>
      <c r="BW70" s="1099"/>
      <c r="BX70" s="1099"/>
      <c r="BY70" s="1099"/>
      <c r="BZ70" s="1099"/>
      <c r="CA70" s="1099"/>
      <c r="CB70" s="1099"/>
      <c r="CC70" s="2181"/>
      <c r="CD70" s="1072"/>
      <c r="CE70" s="1138"/>
      <c r="CF70" s="1138"/>
    </row>
    <row r="71" spans="2:84" s="1126" customFormat="1" ht="13.5" customHeight="1">
      <c r="B71" s="1196" t="s">
        <v>387</v>
      </c>
      <c r="C71" s="1197"/>
      <c r="D71" s="1198" t="s">
        <v>629</v>
      </c>
      <c r="E71" s="1198"/>
      <c r="F71" s="1198"/>
      <c r="G71" s="1198"/>
      <c r="H71" s="1194" t="s">
        <v>26</v>
      </c>
      <c r="I71" s="1199" t="s">
        <v>1260</v>
      </c>
      <c r="J71" s="1199"/>
      <c r="K71" s="1199"/>
      <c r="L71" s="2185"/>
      <c r="M71" s="2185"/>
      <c r="N71" s="2185"/>
      <c r="O71" s="2185"/>
      <c r="P71" s="2185"/>
      <c r="Q71" s="2185"/>
      <c r="R71" s="2185"/>
      <c r="S71" s="2185"/>
      <c r="T71" s="2185"/>
      <c r="U71" s="2185"/>
      <c r="V71" s="2185"/>
      <c r="W71" s="2185"/>
      <c r="X71" s="2185"/>
      <c r="Y71" s="2185"/>
      <c r="Z71" s="2185"/>
      <c r="AA71" s="2185"/>
      <c r="AB71" s="2185"/>
      <c r="AC71" s="2185"/>
      <c r="AD71" s="2185"/>
      <c r="AE71" s="2185"/>
      <c r="AF71" s="2185"/>
      <c r="AG71" s="2185"/>
      <c r="AH71" s="2185"/>
      <c r="AI71" s="2185"/>
      <c r="AJ71" s="2185"/>
      <c r="AK71" s="2185"/>
      <c r="AL71" s="2185"/>
      <c r="AM71" s="2185"/>
      <c r="AN71" s="2185"/>
      <c r="AO71" s="2185"/>
      <c r="AP71" s="2185"/>
      <c r="AQ71" s="2185"/>
      <c r="AR71" s="2185"/>
      <c r="AS71" s="2186" t="s">
        <v>1261</v>
      </c>
      <c r="AT71" s="2186"/>
      <c r="AU71" s="2186"/>
      <c r="AV71" s="2187">
        <f>'GENERAL INFO'!G113</f>
        <v>0</v>
      </c>
      <c r="AW71" s="2187"/>
      <c r="AX71" s="2187"/>
      <c r="AY71" s="2187"/>
      <c r="AZ71" s="2187"/>
      <c r="BA71" s="2187"/>
      <c r="BB71" s="2187"/>
      <c r="BC71" s="2187"/>
      <c r="BD71" s="2187"/>
      <c r="BE71" s="2187"/>
      <c r="BF71" s="2187"/>
      <c r="BG71" s="2187"/>
      <c r="BH71" s="2187"/>
      <c r="BI71" s="2187"/>
      <c r="BJ71" s="2187"/>
      <c r="BK71" s="2187"/>
      <c r="BL71" s="2187"/>
      <c r="BM71" s="2187"/>
      <c r="BN71" s="2187"/>
      <c r="BO71" s="2187"/>
      <c r="BP71" s="1094"/>
      <c r="BQ71" s="2180"/>
      <c r="BR71" s="1099"/>
      <c r="BS71" s="1099"/>
      <c r="BT71" s="1099"/>
      <c r="BU71" s="1099"/>
      <c r="BV71" s="1099"/>
      <c r="BW71" s="1099"/>
      <c r="BX71" s="1099"/>
      <c r="BY71" s="1099"/>
      <c r="BZ71" s="1099"/>
      <c r="CA71" s="1099"/>
      <c r="CB71" s="1099"/>
      <c r="CC71" s="2181"/>
      <c r="CD71" s="1079"/>
      <c r="CE71" s="1138"/>
      <c r="CF71" s="1138"/>
    </row>
    <row r="72" spans="2:84" s="1126" customFormat="1" ht="13.5" customHeight="1">
      <c r="B72" s="1196"/>
      <c r="C72" s="1197"/>
      <c r="D72" s="1198"/>
      <c r="E72" s="1198"/>
      <c r="F72" s="1198"/>
      <c r="G72" s="1198"/>
      <c r="H72" s="1194"/>
      <c r="I72" s="1199"/>
      <c r="J72" s="1199"/>
      <c r="K72" s="1199"/>
      <c r="L72" s="1199"/>
      <c r="M72" s="1126"/>
      <c r="N72" s="1126"/>
      <c r="O72" s="1126"/>
      <c r="P72" s="1093"/>
      <c r="Q72" s="1093"/>
      <c r="R72" s="1094"/>
      <c r="S72" s="1094"/>
      <c r="T72" s="1094"/>
      <c r="U72" s="1094"/>
      <c r="V72" s="1094"/>
      <c r="W72" s="1094"/>
      <c r="X72" s="1094"/>
      <c r="Y72" s="1094"/>
      <c r="Z72" s="1094"/>
      <c r="AA72" s="1094"/>
      <c r="AB72" s="1094"/>
      <c r="AC72" s="1094"/>
      <c r="AD72" s="1094"/>
      <c r="AE72" s="1094"/>
      <c r="AF72" s="1094"/>
      <c r="AG72" s="1094"/>
      <c r="AH72" s="1094"/>
      <c r="AI72" s="1094"/>
      <c r="AJ72" s="1094"/>
      <c r="AK72" s="1094"/>
      <c r="AL72" s="1094"/>
      <c r="AM72" s="1094"/>
      <c r="AN72" s="1094"/>
      <c r="AO72" s="1094"/>
      <c r="AP72" s="1094"/>
      <c r="AQ72" s="1094"/>
      <c r="AR72" s="1094"/>
      <c r="AS72" s="1094"/>
      <c r="AT72" s="1147"/>
      <c r="AU72" s="1147"/>
      <c r="AV72" s="2188" t="s">
        <v>1262</v>
      </c>
      <c r="AW72" s="2188"/>
      <c r="AX72" s="2188"/>
      <c r="AY72" s="2188"/>
      <c r="AZ72" s="2188"/>
      <c r="BA72" s="2188"/>
      <c r="BB72" s="2188"/>
      <c r="BC72" s="2188"/>
      <c r="BD72" s="2188"/>
      <c r="BE72" s="2188"/>
      <c r="BF72" s="2188"/>
      <c r="BG72" s="2188"/>
      <c r="BH72" s="2188"/>
      <c r="BI72" s="1094"/>
      <c r="BJ72" s="1094"/>
      <c r="BK72" s="1094"/>
      <c r="BL72" s="1094"/>
      <c r="BM72" s="1094"/>
      <c r="BN72" s="1094"/>
      <c r="BO72" s="1094"/>
      <c r="BP72" s="1094"/>
      <c r="BQ72" s="2182"/>
      <c r="BR72" s="2183"/>
      <c r="BS72" s="2183"/>
      <c r="BT72" s="2183"/>
      <c r="BU72" s="2183"/>
      <c r="BV72" s="2183"/>
      <c r="BW72" s="2183"/>
      <c r="BX72" s="2183"/>
      <c r="BY72" s="2183"/>
      <c r="BZ72" s="2183"/>
      <c r="CA72" s="2183"/>
      <c r="CB72" s="2183"/>
      <c r="CC72" s="2184"/>
      <c r="CD72" s="1079"/>
      <c r="CE72" s="1138"/>
      <c r="CF72" s="1138"/>
    </row>
    <row r="73" spans="2:84" s="1126" customFormat="1" ht="10" customHeight="1" thickBot="1">
      <c r="B73" s="1081"/>
      <c r="C73" s="1082"/>
      <c r="D73" s="1083"/>
      <c r="E73" s="1083"/>
      <c r="F73" s="1083"/>
      <c r="G73" s="1083"/>
      <c r="H73" s="1083"/>
      <c r="I73" s="1083"/>
      <c r="J73" s="1084"/>
      <c r="K73" s="1084"/>
      <c r="L73" s="1084"/>
      <c r="M73" s="1083"/>
      <c r="N73" s="1085"/>
      <c r="O73" s="1085"/>
      <c r="P73" s="1085"/>
      <c r="Q73" s="1085"/>
      <c r="R73" s="1086"/>
      <c r="S73" s="1086"/>
      <c r="T73" s="1086"/>
      <c r="U73" s="1086"/>
      <c r="V73" s="1086"/>
      <c r="W73" s="1086"/>
      <c r="X73" s="1086"/>
      <c r="Y73" s="1086"/>
      <c r="Z73" s="1086"/>
      <c r="AA73" s="1086"/>
      <c r="AB73" s="1086"/>
      <c r="AC73" s="1086"/>
      <c r="AD73" s="1086"/>
      <c r="AE73" s="1086"/>
      <c r="AF73" s="1086"/>
      <c r="AG73" s="1086"/>
      <c r="AH73" s="1086"/>
      <c r="AI73" s="1086"/>
      <c r="AJ73" s="1086"/>
      <c r="AK73" s="1086"/>
      <c r="AL73" s="1086"/>
      <c r="AM73" s="1086"/>
      <c r="AN73" s="1086"/>
      <c r="AO73" s="1086"/>
      <c r="AP73" s="1086"/>
      <c r="AQ73" s="1086"/>
      <c r="AR73" s="1086"/>
      <c r="AS73" s="1086"/>
      <c r="AT73" s="1086"/>
      <c r="AU73" s="1086"/>
      <c r="AV73" s="1086"/>
      <c r="AW73" s="1086"/>
      <c r="AX73" s="1086"/>
      <c r="AY73" s="1086"/>
      <c r="AZ73" s="1086"/>
      <c r="BA73" s="1086"/>
      <c r="BB73" s="1086"/>
      <c r="BC73" s="1086"/>
      <c r="BD73" s="1086"/>
      <c r="BE73" s="1086"/>
      <c r="BF73" s="1086"/>
      <c r="BG73" s="1086"/>
      <c r="BH73" s="1086"/>
      <c r="BI73" s="1086"/>
      <c r="BJ73" s="1086"/>
      <c r="BK73" s="1086"/>
      <c r="BL73" s="1086"/>
      <c r="BM73" s="1086"/>
      <c r="BN73" s="1086"/>
      <c r="BO73" s="1086"/>
      <c r="BP73" s="1086"/>
      <c r="BQ73" s="1086"/>
      <c r="BR73" s="1086"/>
      <c r="BS73" s="1086"/>
      <c r="BT73" s="1086"/>
      <c r="BU73" s="1086"/>
      <c r="BV73" s="1086"/>
      <c r="BW73" s="1086"/>
      <c r="BX73" s="1086"/>
      <c r="BY73" s="1086"/>
      <c r="BZ73" s="1086"/>
      <c r="CA73" s="1086"/>
      <c r="CB73" s="1086"/>
      <c r="CC73" s="1086"/>
      <c r="CD73" s="1087"/>
      <c r="CE73" s="1138"/>
      <c r="CF73" s="1138"/>
    </row>
    <row r="74" spans="2:84" s="1126" customFormat="1" ht="13.5" customHeight="1">
      <c r="B74" s="1143"/>
      <c r="C74" s="1143"/>
      <c r="D74" s="1143"/>
      <c r="E74" s="1069"/>
      <c r="F74" s="1144"/>
      <c r="G74" s="1145"/>
      <c r="H74" s="1145"/>
      <c r="I74" s="1145"/>
      <c r="J74" s="1145"/>
      <c r="K74" s="1146"/>
      <c r="L74" s="1146"/>
      <c r="M74" s="1146"/>
      <c r="N74" s="1146"/>
      <c r="O74" s="1146"/>
      <c r="P74" s="1146"/>
      <c r="Q74" s="1146"/>
      <c r="R74" s="1146"/>
      <c r="S74" s="1146"/>
      <c r="T74" s="1146"/>
      <c r="U74" s="1146"/>
      <c r="V74" s="1146"/>
      <c r="W74" s="1146"/>
      <c r="X74" s="1146"/>
      <c r="Y74" s="1146"/>
      <c r="Z74" s="1146"/>
      <c r="AA74" s="1146"/>
      <c r="AB74" s="1146"/>
      <c r="AC74" s="1146"/>
      <c r="AD74" s="1146"/>
      <c r="AE74" s="1146"/>
      <c r="AF74" s="1146"/>
      <c r="AG74" s="1146"/>
      <c r="AH74" s="1146"/>
      <c r="AI74" s="1146"/>
      <c r="AJ74" s="1146"/>
      <c r="AK74" s="1146"/>
      <c r="AL74" s="1146"/>
      <c r="AM74" s="1146"/>
      <c r="AN74" s="1146"/>
      <c r="AO74" s="1146"/>
      <c r="AP74" s="1146"/>
      <c r="AQ74" s="1146"/>
      <c r="AR74" s="1146"/>
      <c r="AS74" s="1146"/>
      <c r="AT74" s="1146"/>
      <c r="AU74" s="1146"/>
      <c r="AV74" s="1146"/>
      <c r="AW74" s="1146"/>
      <c r="AX74" s="1146"/>
      <c r="AY74" s="1146"/>
      <c r="AZ74" s="1146"/>
      <c r="BA74" s="1146"/>
      <c r="BB74" s="1146"/>
      <c r="BC74" s="1146"/>
      <c r="BD74" s="1146"/>
      <c r="BE74" s="1146"/>
      <c r="BF74" s="1146"/>
      <c r="BG74" s="1146"/>
      <c r="BH74" s="1146"/>
      <c r="BI74" s="1146"/>
      <c r="BJ74" s="1146"/>
      <c r="BK74" s="1146"/>
      <c r="BL74" s="1146"/>
      <c r="BM74" s="1146"/>
      <c r="BN74" s="1146"/>
      <c r="BO74" s="1146"/>
      <c r="BP74" s="1146"/>
      <c r="BQ74" s="1146"/>
      <c r="BR74" s="1146"/>
      <c r="BS74" s="1146"/>
      <c r="BT74" s="1146"/>
      <c r="BU74" s="1146"/>
      <c r="BV74" s="1146"/>
      <c r="BW74" s="1146"/>
      <c r="BX74" s="1146"/>
      <c r="BY74" s="1146"/>
      <c r="BZ74" s="1146"/>
      <c r="CA74" s="1146"/>
      <c r="CB74" s="1146"/>
      <c r="CC74" s="1146"/>
      <c r="CD74" s="1146"/>
      <c r="CE74" s="1138"/>
      <c r="CF74" s="1138"/>
    </row>
    <row r="75" ht="4.5" customHeight="1"/>
    <row r="76" spans="1:84" ht="9" customHeight="1">
      <c r="A76" s="1019"/>
      <c r="B76" s="1020"/>
      <c r="C76" s="1020"/>
      <c r="BU76" s="2176"/>
      <c r="BV76" s="2176"/>
      <c r="BW76" s="2176"/>
      <c r="BX76" s="2176"/>
      <c r="BY76" s="2176"/>
      <c r="BZ76" s="2176"/>
      <c r="CA76" s="2176"/>
      <c r="CB76" s="2176"/>
      <c r="CC76" s="1148"/>
      <c r="CD76" s="1148"/>
      <c r="CE76" s="1149"/>
      <c r="CF76" s="1019"/>
    </row>
    <row r="77" ht="6" customHeight="1"/>
  </sheetData>
  <sheetProtection password="BDAF" sheet="1" objects="1" scenarios="1" selectLockedCells="1" selectUnlockedCells="1"/>
  <mergeCells count="154">
    <mergeCell ref="B1:P1"/>
    <mergeCell ref="Z3:BK10"/>
    <mergeCell ref="BN5:CD5"/>
    <mergeCell ref="BL6:CD7"/>
    <mergeCell ref="BL8:CF8"/>
    <mergeCell ref="BR10:CD10"/>
    <mergeCell ref="B11:Y11"/>
    <mergeCell ref="AM11:BP12"/>
    <mergeCell ref="BR11:CE11"/>
    <mergeCell ref="B12:Y14"/>
    <mergeCell ref="Z12:AG12"/>
    <mergeCell ref="AH12:AK12"/>
    <mergeCell ref="BR12:BS12"/>
    <mergeCell ref="BU12:BW12"/>
    <mergeCell ref="BY12:CB12"/>
    <mergeCell ref="BS13:BU13"/>
    <mergeCell ref="B21:CD21"/>
    <mergeCell ref="B24:C24"/>
    <mergeCell ref="D24:H24"/>
    <mergeCell ref="J24:K24"/>
    <mergeCell ref="L24:AW24"/>
    <mergeCell ref="AZ24:BB24"/>
    <mergeCell ref="BC24:CD24"/>
    <mergeCell ref="C16:J16"/>
    <mergeCell ref="L16:O16"/>
    <mergeCell ref="P16:BC16"/>
    <mergeCell ref="BO16:BQ16"/>
    <mergeCell ref="C18:J18"/>
    <mergeCell ref="L18:O18"/>
    <mergeCell ref="P18:CC18"/>
    <mergeCell ref="BN26:BP27"/>
    <mergeCell ref="BV26:BX27"/>
    <mergeCell ref="B29:C29"/>
    <mergeCell ref="D29:H29"/>
    <mergeCell ref="J29:K29"/>
    <mergeCell ref="L29:AW29"/>
    <mergeCell ref="AZ29:BB29"/>
    <mergeCell ref="BN29:CC29"/>
    <mergeCell ref="B26:C26"/>
    <mergeCell ref="D26:H27"/>
    <mergeCell ref="I26:I27"/>
    <mergeCell ref="J26:K27"/>
    <mergeCell ref="L26:AW27"/>
    <mergeCell ref="BE26:BH27"/>
    <mergeCell ref="B35:C35"/>
    <mergeCell ref="D35:L35"/>
    <mergeCell ref="M35:P35"/>
    <mergeCell ref="Q35:S35"/>
    <mergeCell ref="AH35:AJ35"/>
    <mergeCell ref="B37:BG37"/>
    <mergeCell ref="BO31:BQ31"/>
    <mergeCell ref="BR31:BS31"/>
    <mergeCell ref="BT31:BV31"/>
    <mergeCell ref="B33:C33"/>
    <mergeCell ref="D33:H33"/>
    <mergeCell ref="L33:AW33"/>
    <mergeCell ref="AZ33:BB33"/>
    <mergeCell ref="BR33:BT33"/>
    <mergeCell ref="B31:C31"/>
    <mergeCell ref="D31:H31"/>
    <mergeCell ref="J31:K31"/>
    <mergeCell ref="L31:AW31"/>
    <mergeCell ref="AZ31:BB31"/>
    <mergeCell ref="BC31:BM31"/>
    <mergeCell ref="B43:T43"/>
    <mergeCell ref="BN43:CD43"/>
    <mergeCell ref="B44:C44"/>
    <mergeCell ref="D44:BM44"/>
    <mergeCell ref="BN44:CC44"/>
    <mergeCell ref="B45:C45"/>
    <mergeCell ref="D45:V45"/>
    <mergeCell ref="BN45:CC45"/>
    <mergeCell ref="B39:BM39"/>
    <mergeCell ref="BN39:CD39"/>
    <mergeCell ref="B41:L41"/>
    <mergeCell ref="O41:Q41"/>
    <mergeCell ref="R41:Y41"/>
    <mergeCell ref="AA41:AD41"/>
    <mergeCell ref="AE41:AN41"/>
    <mergeCell ref="BF41:BM41"/>
    <mergeCell ref="BN41:CD41"/>
    <mergeCell ref="B48:C48"/>
    <mergeCell ref="D48:BM48"/>
    <mergeCell ref="BN48:CC48"/>
    <mergeCell ref="B49:C49"/>
    <mergeCell ref="D49:BM49"/>
    <mergeCell ref="BN49:CC49"/>
    <mergeCell ref="B46:C46"/>
    <mergeCell ref="D46:AV46"/>
    <mergeCell ref="BN46:CC46"/>
    <mergeCell ref="B47:C47"/>
    <mergeCell ref="D47:BM47"/>
    <mergeCell ref="BN47:CC47"/>
    <mergeCell ref="B52:O52"/>
    <mergeCell ref="BN52:CD52"/>
    <mergeCell ref="B53:C53"/>
    <mergeCell ref="D53:AS53"/>
    <mergeCell ref="BN53:CC53"/>
    <mergeCell ref="B54:C54"/>
    <mergeCell ref="D54:AP54"/>
    <mergeCell ref="BN54:CC54"/>
    <mergeCell ref="B50:C50"/>
    <mergeCell ref="D50:AY50"/>
    <mergeCell ref="BN50:CC50"/>
    <mergeCell ref="B51:C51"/>
    <mergeCell ref="D51:AR51"/>
    <mergeCell ref="BN51:CC51"/>
    <mergeCell ref="B58:C58"/>
    <mergeCell ref="D58:BF58"/>
    <mergeCell ref="BN58:CC58"/>
    <mergeCell ref="B59:C59"/>
    <mergeCell ref="D59:BM59"/>
    <mergeCell ref="BN59:CC59"/>
    <mergeCell ref="B55:C55"/>
    <mergeCell ref="D55:BE55"/>
    <mergeCell ref="BN55:CC55"/>
    <mergeCell ref="B56:W56"/>
    <mergeCell ref="BN56:CD56"/>
    <mergeCell ref="B57:C57"/>
    <mergeCell ref="D57:BE57"/>
    <mergeCell ref="BN57:CC57"/>
    <mergeCell ref="B62:C62"/>
    <mergeCell ref="D62:BK62"/>
    <mergeCell ref="BN62:CC62"/>
    <mergeCell ref="B63:C63"/>
    <mergeCell ref="D63:BK63"/>
    <mergeCell ref="BN63:CC63"/>
    <mergeCell ref="B60:C60"/>
    <mergeCell ref="D60:BM60"/>
    <mergeCell ref="BN60:CC60"/>
    <mergeCell ref="B61:C61"/>
    <mergeCell ref="D61:BH61"/>
    <mergeCell ref="BN61:CC61"/>
    <mergeCell ref="B66:AG66"/>
    <mergeCell ref="B69:C69"/>
    <mergeCell ref="D69:G69"/>
    <mergeCell ref="I69:K69"/>
    <mergeCell ref="L69:AR69"/>
    <mergeCell ref="AV69:BN69"/>
    <mergeCell ref="B64:C64"/>
    <mergeCell ref="D64:BK64"/>
    <mergeCell ref="BN64:CC64"/>
    <mergeCell ref="B65:C65"/>
    <mergeCell ref="D65:BH65"/>
    <mergeCell ref="BN65:CC65"/>
    <mergeCell ref="BU76:CB76"/>
    <mergeCell ref="BQ69:CC72"/>
    <mergeCell ref="B71:C71"/>
    <mergeCell ref="D71:G71"/>
    <mergeCell ref="I71:K71"/>
    <mergeCell ref="L71:AR71"/>
    <mergeCell ref="AS71:AU71"/>
    <mergeCell ref="AV71:BO71"/>
    <mergeCell ref="AV72:BH72"/>
  </mergeCells>
  <printOptions horizontalCentered="1"/>
  <pageMargins left="0.7" right="0.7" top="0.75" bottom="0.75" header="0.3" footer="0.3"/>
  <pageSetup paperSize="5" scale="80" fitToHeight="0" orientation="portrait" r:id="rId1"/>
  <headerFooter alignWithMargins="0">
    <oddHeader>&amp;R&amp;"Arial,Bold"&amp;14C.2.1.&amp;P</oddHeader>
    <oddFooter>&amp;L&amp;8Page &amp;P of &amp;N&amp;R&amp;8Printed on &amp;D,&amp;T</oddFooter>
  </headerFooter>
  <drawing r:id="rId2"/>
</worksheet>
</file>

<file path=xl/worksheets/sheet1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6699"/>
    <pageSetUpPr fitToPage="1"/>
  </sheetPr>
  <dimension ref="A1:AU199"/>
  <sheetViews>
    <sheetView topLeftCell="A153" showGridLines="0" zoomScale="85" zoomScaleNormal="85" zoomScaleSheetLayoutView="85" view="normal" workbookViewId="0">
      <selection pane="topLeft" activeCell="O158" sqref="O158"/>
    </sheetView>
  </sheetViews>
  <sheetFormatPr defaultColWidth="4.56640625" defaultRowHeight="12.5" baseColWidth="0"/>
  <cols>
    <col min="1" max="1" width="4.7109375" style="640" customWidth="1"/>
    <col min="2" max="3" width="5.421875" style="640" customWidth="1"/>
    <col min="4" max="4" width="9.7109375" style="640" customWidth="1"/>
    <col min="5" max="5" width="4.56640625" style="640" customWidth="1"/>
    <col min="6" max="6" width="3.8515625" style="640" customWidth="1"/>
    <col min="7" max="7" width="3.421875" style="640" customWidth="1"/>
    <col min="8" max="9" width="4.56640625" style="640" customWidth="1"/>
    <col min="10" max="10" width="5.28125" style="640" customWidth="1"/>
    <col min="11" max="11" width="5.8515625" style="640" customWidth="1"/>
    <col min="12" max="12" width="6.56640625" style="640" customWidth="1"/>
    <col min="13" max="14" width="3.7109375" style="640" customWidth="1"/>
    <col min="15" max="15" width="5.421875" style="640" customWidth="1"/>
    <col min="16" max="16" width="5.7109375" style="640" customWidth="1"/>
    <col min="17" max="17" width="4.7109375" style="640" customWidth="1"/>
    <col min="18" max="18" width="4.13671875" style="640" customWidth="1"/>
    <col min="19" max="19" width="4.56640625" style="640" customWidth="1"/>
    <col min="20" max="20" width="5.28125" style="640" customWidth="1"/>
    <col min="21" max="24" width="4.56640625" style="640" customWidth="1"/>
    <col min="25" max="25" width="7.13671875" style="640" customWidth="1"/>
    <col min="26" max="26" width="4.56640625" style="640" customWidth="1"/>
    <col min="27" max="27" width="5.7109375" style="640" customWidth="1"/>
    <col min="28" max="28" width="3.421875" style="640" customWidth="1"/>
    <col min="29" max="31" width="6.8515625" style="640" customWidth="1"/>
    <col min="32" max="32" width="16.56640625" style="640" customWidth="1"/>
    <col min="33" max="35" width="6.8515625" style="640" customWidth="1"/>
    <col min="36" max="37" width="4.56640625" style="640" customWidth="1"/>
    <col min="38" max="38" width="7.13671875" style="640" customWidth="1"/>
    <col min="39" max="16384" width="4.56640625" style="640" customWidth="1"/>
  </cols>
  <sheetData>
    <row r="1" spans="31:31" ht="11.25" customHeight="1">
      <c r="AE1" s="679"/>
    </row>
    <row r="2" spans="1:30" ht="3.75" customHeight="1">
      <c r="A2" s="688"/>
      <c r="AD2" s="688"/>
    </row>
    <row r="3" spans="1:30" ht="6" customHeight="1">
      <c r="A3" s="688"/>
      <c r="AD3" s="688"/>
    </row>
    <row r="4" spans="1:31" ht="33" customHeight="1">
      <c r="A4" s="2417" t="s">
        <v>778</v>
      </c>
      <c r="B4" s="2418"/>
      <c r="C4" s="2418"/>
      <c r="D4" s="2418"/>
      <c r="E4" s="2418"/>
      <c r="F4" s="2418"/>
      <c r="G4" s="2418"/>
      <c r="H4" s="2418"/>
      <c r="I4" s="2418"/>
      <c r="J4" s="2418"/>
      <c r="K4" s="2418"/>
      <c r="L4" s="2418"/>
      <c r="M4" s="2418"/>
      <c r="N4" s="2418"/>
      <c r="O4" s="2418"/>
      <c r="P4" s="2418"/>
      <c r="Q4" s="2418"/>
      <c r="R4" s="2418"/>
      <c r="S4" s="2418"/>
      <c r="T4" s="2418"/>
      <c r="U4" s="2418"/>
      <c r="V4" s="2418"/>
      <c r="W4" s="2418"/>
      <c r="X4" s="2418"/>
      <c r="Y4" s="2418"/>
      <c r="Z4" s="2418"/>
      <c r="AA4" s="2418"/>
      <c r="AB4" s="2418"/>
      <c r="AC4" s="2418"/>
      <c r="AD4" s="2418"/>
      <c r="AE4" s="2418"/>
    </row>
    <row r="5" spans="1:31" ht="33" customHeight="1">
      <c r="A5" s="687" t="s">
        <v>642</v>
      </c>
      <c r="B5" s="667"/>
      <c r="D5" s="667"/>
      <c r="E5" s="654" t="str">
        <f>UPPER(name)</f>
        <v>0</v>
      </c>
      <c r="F5" s="667"/>
      <c r="G5" s="667"/>
      <c r="H5" s="667"/>
      <c r="I5" s="667"/>
      <c r="J5" s="667"/>
      <c r="K5" s="667"/>
      <c r="L5" s="667"/>
      <c r="M5" s="667"/>
      <c r="N5" s="667"/>
      <c r="O5" s="667"/>
      <c r="P5" s="667"/>
      <c r="Q5" s="667"/>
      <c r="R5" s="667"/>
      <c r="S5" s="667"/>
      <c r="T5" s="667"/>
      <c r="U5" s="667"/>
      <c r="V5" s="667"/>
      <c r="W5" s="667"/>
      <c r="X5" s="667"/>
      <c r="Y5" s="667"/>
      <c r="Z5" s="667"/>
      <c r="AA5" s="667"/>
      <c r="AB5" s="667"/>
      <c r="AC5" s="667"/>
      <c r="AD5" s="657"/>
      <c r="AE5" s="667"/>
    </row>
    <row r="6" spans="1:31" s="682" customFormat="1" ht="33" customHeight="1">
      <c r="A6" s="686" t="s">
        <v>622</v>
      </c>
      <c r="B6" s="683"/>
      <c r="C6" s="683"/>
      <c r="D6" s="683"/>
      <c r="E6" s="685" t="str">
        <f>npwp</f>
        <v>...-.</v>
      </c>
      <c r="F6" s="683"/>
      <c r="G6" s="683"/>
      <c r="H6" s="683"/>
      <c r="I6" s="683"/>
      <c r="J6" s="683"/>
      <c r="K6" s="683"/>
      <c r="L6" s="683"/>
      <c r="M6" s="683"/>
      <c r="N6" s="683"/>
      <c r="O6" s="683"/>
      <c r="P6" s="683"/>
      <c r="Q6" s="683"/>
      <c r="R6" s="683"/>
      <c r="S6" s="683"/>
      <c r="T6" s="683"/>
      <c r="U6" s="683"/>
      <c r="V6" s="683"/>
      <c r="W6" s="683"/>
      <c r="X6" s="683"/>
      <c r="Y6" s="683"/>
      <c r="Z6" s="683"/>
      <c r="AA6" s="683"/>
      <c r="AB6" s="683"/>
      <c r="AC6" s="683"/>
      <c r="AD6" s="684"/>
      <c r="AE6" s="683"/>
    </row>
    <row r="7" spans="1:31" ht="5.25" customHeight="1">
      <c r="A7" s="681"/>
      <c r="B7" s="681"/>
      <c r="C7" s="681"/>
      <c r="D7" s="681"/>
      <c r="E7" s="681"/>
      <c r="F7" s="681"/>
      <c r="G7" s="681"/>
      <c r="H7" s="681"/>
      <c r="I7" s="681"/>
      <c r="J7" s="681"/>
      <c r="K7" s="681"/>
      <c r="L7" s="681"/>
      <c r="M7" s="681"/>
      <c r="N7" s="681"/>
      <c r="O7" s="681"/>
      <c r="P7" s="681"/>
      <c r="Q7" s="681"/>
      <c r="R7" s="681"/>
      <c r="S7" s="681"/>
      <c r="T7" s="681"/>
      <c r="U7" s="681"/>
      <c r="V7" s="681"/>
      <c r="W7" s="681"/>
      <c r="X7" s="681"/>
      <c r="Y7" s="681"/>
      <c r="Z7" s="681"/>
      <c r="AA7" s="681"/>
      <c r="AB7" s="681"/>
      <c r="AC7" s="680"/>
      <c r="AD7" s="680"/>
      <c r="AE7" s="680"/>
    </row>
    <row r="8" spans="1:31" ht="3.75" customHeight="1">
      <c r="A8" s="681"/>
      <c r="B8" s="681"/>
      <c r="C8" s="681"/>
      <c r="D8" s="681"/>
      <c r="E8" s="681"/>
      <c r="F8" s="681"/>
      <c r="G8" s="681"/>
      <c r="H8" s="681"/>
      <c r="I8" s="681"/>
      <c r="J8" s="681"/>
      <c r="K8" s="681"/>
      <c r="L8" s="681"/>
      <c r="M8" s="681"/>
      <c r="N8" s="681"/>
      <c r="O8" s="681"/>
      <c r="P8" s="681"/>
      <c r="Q8" s="681"/>
      <c r="R8" s="681"/>
      <c r="S8" s="681"/>
      <c r="T8" s="681"/>
      <c r="U8" s="681"/>
      <c r="V8" s="681"/>
      <c r="W8" s="681"/>
      <c r="X8" s="681"/>
      <c r="Y8" s="681"/>
      <c r="Z8" s="681"/>
      <c r="AA8" s="681"/>
      <c r="AB8" s="681"/>
      <c r="AC8" s="680"/>
      <c r="AD8" s="680"/>
      <c r="AE8" s="679"/>
    </row>
    <row r="14" spans="3:27" ht="20">
      <c r="C14" s="657" t="s">
        <v>779</v>
      </c>
      <c r="X14" s="678"/>
      <c r="Y14" s="678"/>
      <c r="Z14" s="678"/>
      <c r="AA14" s="678"/>
    </row>
    <row r="15" spans="3:27" ht="20">
      <c r="C15" s="657" t="s">
        <v>632</v>
      </c>
      <c r="F15" s="654" t="str">
        <f>taxyear</f>
        <v/>
      </c>
      <c r="X15" s="678"/>
      <c r="Y15" s="678"/>
      <c r="Z15" s="678"/>
      <c r="AA15" s="678"/>
    </row>
    <row r="16" ht="37.5" customHeight="1"/>
    <row r="17" spans="3:27" ht="13">
      <c r="C17" s="667" t="s">
        <v>780</v>
      </c>
      <c r="D17" s="640"/>
      <c r="E17" s="640"/>
      <c r="F17" s="640"/>
      <c r="G17" s="640"/>
      <c r="H17" s="640"/>
      <c r="I17" s="640"/>
      <c r="J17" s="640"/>
      <c r="K17" s="640"/>
      <c r="L17" s="640"/>
      <c r="M17" s="640"/>
      <c r="N17" s="640"/>
      <c r="O17" s="640"/>
      <c r="P17" s="640"/>
      <c r="Q17" s="640"/>
      <c r="R17" s="640"/>
      <c r="S17" s="640"/>
      <c r="T17" s="640"/>
      <c r="U17" s="640"/>
      <c r="V17" s="640"/>
      <c r="W17" s="640"/>
      <c r="X17" s="640"/>
      <c r="Y17" s="640"/>
      <c r="Z17" s="640"/>
      <c r="AA17" s="640"/>
    </row>
    <row r="18" spans="3:27" ht="16.5" customHeight="1">
      <c r="C18" s="640"/>
      <c r="D18" s="677" t="s">
        <v>1022</v>
      </c>
      <c r="E18" s="640"/>
      <c r="F18" s="640"/>
      <c r="G18" s="640"/>
      <c r="H18" s="640"/>
      <c r="I18" s="640"/>
      <c r="J18" s="640"/>
      <c r="K18" s="640"/>
      <c r="L18" s="640"/>
      <c r="M18" s="640"/>
      <c r="N18" s="640"/>
      <c r="O18" s="640"/>
      <c r="P18" s="640"/>
      <c r="Q18" s="640"/>
      <c r="R18" s="640"/>
      <c r="S18" s="2415">
        <f>IF('GENERAL INFO'!$G$114="X",'CalculationSheet'!N15,'CalculationSheet'!N105)</f>
        <v>0</v>
      </c>
      <c r="T18" s="2415"/>
      <c r="U18" s="2415"/>
      <c r="V18" s="2415"/>
      <c r="W18" s="672"/>
      <c r="X18" s="641"/>
      <c r="Y18" s="641"/>
      <c r="Z18" s="641"/>
      <c r="AA18" s="641"/>
    </row>
    <row r="19" spans="3:27" ht="15.75" customHeight="1">
      <c r="C19" s="640"/>
      <c r="D19" s="640" t="s">
        <v>781</v>
      </c>
      <c r="E19" s="640"/>
      <c r="F19" s="640"/>
      <c r="G19" s="640"/>
      <c r="H19" s="640"/>
      <c r="I19" s="640"/>
      <c r="J19" s="640"/>
      <c r="K19" s="640"/>
      <c r="L19" s="640"/>
      <c r="M19" s="640"/>
      <c r="N19" s="640"/>
      <c r="O19" s="640"/>
      <c r="P19" s="640"/>
      <c r="Q19" s="640"/>
      <c r="R19" s="640"/>
      <c r="S19" s="2415">
        <f>IF('GENERAL INFO'!$G$114="X",'CalculationSheet'!N16,'CalculationSheet'!N106)</f>
        <v>0</v>
      </c>
      <c r="T19" s="2415"/>
      <c r="U19" s="2415"/>
      <c r="V19" s="2415"/>
      <c r="W19" s="672"/>
      <c r="X19" s="641"/>
      <c r="Y19" s="641"/>
      <c r="Z19" s="641"/>
      <c r="AA19" s="641"/>
    </row>
    <row r="20" spans="3:27" ht="15" customHeight="1">
      <c r="C20" s="640"/>
      <c r="D20" s="640" t="s">
        <v>782</v>
      </c>
      <c r="E20" s="640"/>
      <c r="F20" s="640"/>
      <c r="G20" s="640"/>
      <c r="H20" s="640"/>
      <c r="I20" s="640"/>
      <c r="J20" s="640"/>
      <c r="K20" s="640"/>
      <c r="L20" s="640"/>
      <c r="M20" s="640"/>
      <c r="N20" s="640"/>
      <c r="O20" s="640"/>
      <c r="P20" s="640"/>
      <c r="Q20" s="640"/>
      <c r="R20" s="640"/>
      <c r="S20" s="2419">
        <f>IF('GENERAL INFO'!$G$114="X",'CalculationSheet'!N17,'CalculationSheet'!N107)</f>
        <v>0</v>
      </c>
      <c r="T20" s="2419"/>
      <c r="U20" s="2419"/>
      <c r="V20" s="2419"/>
      <c r="W20" s="672"/>
      <c r="X20" s="641"/>
      <c r="Y20" s="641"/>
      <c r="Z20" s="641"/>
      <c r="AA20" s="641"/>
    </row>
    <row r="21" spans="3:27" ht="19.5" customHeight="1">
      <c r="C21" s="640"/>
      <c r="D21" s="640" t="s">
        <v>783</v>
      </c>
      <c r="E21" s="640"/>
      <c r="F21" s="640"/>
      <c r="G21" s="640"/>
      <c r="H21" s="640"/>
      <c r="I21" s="640"/>
      <c r="J21" s="640"/>
      <c r="K21" s="640"/>
      <c r="L21" s="640"/>
      <c r="M21" s="640"/>
      <c r="N21" s="640"/>
      <c r="O21" s="640"/>
      <c r="P21" s="640"/>
      <c r="Q21" s="640"/>
      <c r="R21" s="640"/>
      <c r="S21" s="641"/>
      <c r="T21" s="641"/>
      <c r="U21" s="641"/>
      <c r="V21" s="641"/>
      <c r="W21" s="641"/>
      <c r="X21" s="2415">
        <f>SUM(S18:V20)</f>
        <v>0</v>
      </c>
      <c r="Y21" s="2415"/>
      <c r="Z21" s="2415"/>
      <c r="AA21" s="2415"/>
    </row>
    <row r="22" spans="3:27" ht="8.25" customHeight="1">
      <c r="C22" s="640"/>
      <c r="D22" s="640"/>
      <c r="E22" s="640"/>
      <c r="F22" s="640"/>
      <c r="G22" s="640"/>
      <c r="H22" s="640"/>
      <c r="I22" s="640"/>
      <c r="J22" s="640"/>
      <c r="K22" s="640"/>
      <c r="L22" s="640"/>
      <c r="M22" s="640"/>
      <c r="N22" s="640"/>
      <c r="O22" s="640"/>
      <c r="P22" s="640"/>
      <c r="Q22" s="640"/>
      <c r="R22" s="640"/>
      <c r="S22" s="641"/>
      <c r="T22" s="641"/>
      <c r="U22" s="641"/>
      <c r="V22" s="641"/>
      <c r="W22" s="641"/>
      <c r="X22" s="751"/>
      <c r="Y22" s="752"/>
      <c r="Z22" s="752"/>
      <c r="AA22" s="752"/>
    </row>
    <row r="23" spans="3:27" ht="6.75" customHeight="1">
      <c r="C23" s="640"/>
      <c r="D23" s="640"/>
      <c r="E23" s="640"/>
      <c r="F23" s="640"/>
      <c r="G23" s="640"/>
      <c r="H23" s="640"/>
      <c r="I23" s="640"/>
      <c r="J23" s="640"/>
      <c r="K23" s="640"/>
      <c r="L23" s="640"/>
      <c r="M23" s="640"/>
      <c r="N23" s="640"/>
      <c r="O23" s="640"/>
      <c r="P23" s="640"/>
      <c r="Q23" s="640"/>
      <c r="R23" s="640"/>
      <c r="S23" s="641"/>
      <c r="T23" s="641"/>
      <c r="U23" s="641"/>
      <c r="V23" s="641"/>
      <c r="W23" s="641"/>
      <c r="X23" s="753"/>
      <c r="Y23" s="754"/>
      <c r="Z23" s="754"/>
      <c r="AA23" s="754"/>
    </row>
    <row r="24" spans="3:27" ht="13">
      <c r="C24" s="667" t="s">
        <v>784</v>
      </c>
      <c r="D24" s="640"/>
      <c r="E24" s="640"/>
      <c r="F24" s="640"/>
      <c r="G24" s="640"/>
      <c r="H24" s="640"/>
      <c r="I24" s="640"/>
      <c r="J24" s="640"/>
      <c r="K24" s="640"/>
      <c r="L24" s="640"/>
      <c r="M24" s="640"/>
      <c r="N24" s="640"/>
      <c r="O24" s="640"/>
      <c r="P24" s="640"/>
      <c r="Q24" s="640"/>
      <c r="R24" s="640"/>
      <c r="S24" s="641"/>
      <c r="T24" s="641"/>
      <c r="U24" s="641"/>
      <c r="V24" s="641"/>
      <c r="W24" s="641"/>
      <c r="X24" s="2415" t="e">
        <f>IF('GENERAL INFO'!$G$114="X",'CalculationSheet'!R26,'CalculationSheet'!R116)</f>
        <v>#DIV/0!</v>
      </c>
      <c r="Y24" s="2415"/>
      <c r="Z24" s="2415"/>
      <c r="AA24" s="2415"/>
    </row>
    <row r="25" spans="3:27">
      <c r="C25" s="640"/>
      <c r="D25" s="640"/>
      <c r="E25" s="640"/>
      <c r="F25" s="640"/>
      <c r="G25" s="640"/>
      <c r="H25" s="640"/>
      <c r="I25" s="640"/>
      <c r="J25" s="640"/>
      <c r="K25" s="640"/>
      <c r="L25" s="640"/>
      <c r="M25" s="640"/>
      <c r="N25" s="640"/>
      <c r="O25" s="640"/>
      <c r="P25" s="640"/>
      <c r="Q25" s="640"/>
      <c r="R25" s="640"/>
      <c r="S25" s="641"/>
      <c r="T25" s="641"/>
      <c r="U25" s="641"/>
      <c r="V25" s="641"/>
      <c r="W25" s="641"/>
      <c r="X25" s="2415"/>
      <c r="Y25" s="2415"/>
      <c r="Z25" s="2415"/>
      <c r="AA25" s="2415"/>
    </row>
    <row r="26" spans="3:32">
      <c r="C26" s="666" t="s">
        <v>785</v>
      </c>
      <c r="D26" s="640"/>
      <c r="E26" s="640"/>
      <c r="F26" s="640"/>
      <c r="G26" s="640"/>
      <c r="H26" s="640"/>
      <c r="I26" s="640"/>
      <c r="J26" s="640"/>
      <c r="K26" s="640"/>
      <c r="L26" s="640"/>
      <c r="M26" s="640"/>
      <c r="N26" s="640"/>
      <c r="O26" s="640"/>
      <c r="P26" s="640"/>
      <c r="Q26" s="640"/>
      <c r="R26" s="640"/>
      <c r="S26" s="641"/>
      <c r="T26" s="641"/>
      <c r="U26" s="641"/>
      <c r="V26" s="641"/>
      <c r="W26" s="641"/>
      <c r="X26" s="2415">
        <f>'CalculationSheet'!R28</f>
        <v>0</v>
      </c>
      <c r="Y26" s="2415"/>
      <c r="Z26" s="2415"/>
      <c r="AA26" s="2415"/>
      <c r="AF26" s="676"/>
    </row>
    <row r="27" spans="3:27" ht="6" customHeight="1">
      <c r="C27" s="667"/>
      <c r="D27" s="640"/>
      <c r="E27" s="640"/>
      <c r="F27" s="640"/>
      <c r="G27" s="640"/>
      <c r="H27" s="640"/>
      <c r="I27" s="640"/>
      <c r="J27" s="640"/>
      <c r="K27" s="640"/>
      <c r="L27" s="640"/>
      <c r="M27" s="640"/>
      <c r="N27" s="640"/>
      <c r="O27" s="640"/>
      <c r="P27" s="640"/>
      <c r="Q27" s="640"/>
      <c r="R27" s="640"/>
      <c r="S27" s="641"/>
      <c r="T27" s="641"/>
      <c r="U27" s="641"/>
      <c r="V27" s="641"/>
      <c r="W27" s="641"/>
      <c r="X27" s="673"/>
      <c r="Y27" s="673"/>
      <c r="Z27" s="673"/>
      <c r="AA27" s="673"/>
    </row>
    <row r="28" spans="3:27" ht="9" customHeight="1">
      <c r="C28" s="667"/>
      <c r="D28" s="640"/>
      <c r="E28" s="640"/>
      <c r="F28" s="640"/>
      <c r="G28" s="640"/>
      <c r="H28" s="640"/>
      <c r="I28" s="640"/>
      <c r="J28" s="640"/>
      <c r="K28" s="640"/>
      <c r="L28" s="640"/>
      <c r="M28" s="640"/>
      <c r="N28" s="640"/>
      <c r="O28" s="640"/>
      <c r="P28" s="640"/>
      <c r="Q28" s="640"/>
      <c r="R28" s="640"/>
      <c r="S28" s="641"/>
      <c r="T28" s="641"/>
      <c r="U28" s="641"/>
      <c r="V28" s="641"/>
      <c r="W28" s="641"/>
      <c r="X28" s="641"/>
      <c r="Y28" s="641"/>
      <c r="Z28" s="641"/>
      <c r="AA28" s="641"/>
    </row>
    <row r="29" spans="3:29" ht="13">
      <c r="C29" s="667" t="s">
        <v>786</v>
      </c>
      <c r="D29" s="640"/>
      <c r="E29" s="640"/>
      <c r="F29" s="640"/>
      <c r="G29" s="640"/>
      <c r="H29" s="640"/>
      <c r="I29" s="640"/>
      <c r="J29" s="640"/>
      <c r="K29" s="640"/>
      <c r="L29" s="640"/>
      <c r="M29" s="640"/>
      <c r="N29" s="640"/>
      <c r="O29" s="640"/>
      <c r="P29" s="640"/>
      <c r="Q29" s="640"/>
      <c r="R29" s="640"/>
      <c r="S29" s="641"/>
      <c r="T29" s="641"/>
      <c r="U29" s="641"/>
      <c r="V29" s="641"/>
      <c r="W29" s="641"/>
      <c r="X29" s="2421" t="e">
        <f>IF('GENERAL INFO'!$G$114="X",'CalculationSheet'!R30,'CalculationSheet'!R120)</f>
        <v>#DIV/0!</v>
      </c>
      <c r="Y29" s="2421"/>
      <c r="Z29" s="2421"/>
      <c r="AA29" s="2421"/>
      <c r="AC29" s="676"/>
    </row>
    <row r="30" spans="3:32" ht="13">
      <c r="C30" s="667"/>
      <c r="D30" s="640"/>
      <c r="E30" s="640"/>
      <c r="F30" s="640"/>
      <c r="G30" s="640"/>
      <c r="H30" s="640"/>
      <c r="I30" s="640"/>
      <c r="J30" s="640"/>
      <c r="K30" s="640"/>
      <c r="L30" s="640"/>
      <c r="M30" s="640"/>
      <c r="N30" s="640"/>
      <c r="O30" s="640"/>
      <c r="P30" s="640"/>
      <c r="Q30" s="640"/>
      <c r="R30" s="640"/>
      <c r="S30" s="641"/>
      <c r="T30" s="641"/>
      <c r="U30" s="641"/>
      <c r="V30" s="641"/>
      <c r="W30" s="641"/>
      <c r="X30" s="641"/>
      <c r="Y30" s="641"/>
      <c r="Z30" s="641"/>
      <c r="AA30" s="641"/>
      <c r="AF30" s="675"/>
    </row>
    <row r="31" spans="3:27" ht="13">
      <c r="C31" s="667" t="s">
        <v>787</v>
      </c>
      <c r="D31" s="640"/>
      <c r="E31" s="640"/>
      <c r="F31" s="640"/>
      <c r="G31" s="640"/>
      <c r="H31" s="640"/>
      <c r="I31" s="640"/>
      <c r="J31" s="640"/>
      <c r="K31" s="640"/>
      <c r="L31" s="640"/>
      <c r="M31" s="640"/>
      <c r="N31" s="640"/>
      <c r="O31" s="640"/>
      <c r="P31" s="640"/>
      <c r="Q31" s="640"/>
      <c r="R31" s="640"/>
      <c r="S31" s="641"/>
      <c r="T31" s="641"/>
      <c r="U31" s="641"/>
      <c r="V31" s="641"/>
      <c r="W31" s="641"/>
      <c r="X31" s="641"/>
      <c r="Y31" s="641"/>
      <c r="Z31" s="641"/>
      <c r="AA31" s="641"/>
    </row>
    <row r="32" spans="3:27">
      <c r="C32" s="640"/>
      <c r="D32" s="674" t="s">
        <v>788</v>
      </c>
      <c r="E32" s="640"/>
      <c r="F32" s="640"/>
      <c r="G32" s="640"/>
      <c r="H32" s="640"/>
      <c r="I32" s="640"/>
      <c r="J32" s="640"/>
      <c r="K32" s="640"/>
      <c r="L32" s="640"/>
      <c r="M32" s="640"/>
      <c r="N32" s="640"/>
      <c r="O32" s="640"/>
      <c r="P32" s="640"/>
      <c r="Q32" s="640"/>
      <c r="R32" s="640"/>
      <c r="S32" s="2415" t="e">
        <f>IF('GENERAL INFO'!$G$114="X",'CalculationSheet'!N35,'CalculationSheet'!N125)</f>
        <v>#DIV/0!</v>
      </c>
      <c r="T32" s="2415"/>
      <c r="U32" s="2415"/>
      <c r="V32" s="2415"/>
      <c r="W32" s="672"/>
      <c r="X32" s="641"/>
      <c r="Y32" s="641"/>
      <c r="Z32" s="641"/>
      <c r="AA32" s="641"/>
    </row>
    <row r="33" spans="3:27" ht="13">
      <c r="C33" s="667"/>
      <c r="D33" s="640" t="s">
        <v>789</v>
      </c>
      <c r="E33" s="640"/>
      <c r="F33" s="640"/>
      <c r="G33" s="640"/>
      <c r="H33" s="640"/>
      <c r="I33" s="640"/>
      <c r="J33" s="640"/>
      <c r="K33" s="640"/>
      <c r="L33" s="640"/>
      <c r="M33" s="640"/>
      <c r="N33" s="640"/>
      <c r="O33" s="640"/>
      <c r="P33" s="640"/>
      <c r="Q33" s="640"/>
      <c r="R33" s="640"/>
      <c r="S33" s="2415" t="e">
        <f>IF('GENERAL INFO'!$G$114="X",'CalculationSheet'!N36,'CalculationSheet'!N126)</f>
        <v>#DIV/0!</v>
      </c>
      <c r="T33" s="2415"/>
      <c r="U33" s="2415"/>
      <c r="V33" s="2415"/>
      <c r="W33" s="672"/>
      <c r="X33" s="641"/>
      <c r="Y33" s="641"/>
      <c r="Z33" s="641"/>
      <c r="AA33" s="641"/>
    </row>
    <row r="34" spans="3:27" ht="6" customHeight="1">
      <c r="C34" s="667"/>
      <c r="D34" s="640"/>
      <c r="E34" s="640"/>
      <c r="F34" s="640"/>
      <c r="G34" s="640"/>
      <c r="H34" s="640"/>
      <c r="I34" s="640"/>
      <c r="J34" s="640"/>
      <c r="K34" s="640"/>
      <c r="L34" s="640"/>
      <c r="M34" s="640"/>
      <c r="N34" s="640"/>
      <c r="O34" s="640"/>
      <c r="P34" s="640"/>
      <c r="Q34" s="640"/>
      <c r="R34" s="640"/>
      <c r="S34" s="673"/>
      <c r="T34" s="673"/>
      <c r="U34" s="673"/>
      <c r="V34" s="673"/>
      <c r="W34" s="672"/>
      <c r="X34" s="641"/>
      <c r="Y34" s="641"/>
      <c r="Z34" s="641"/>
      <c r="AA34" s="641"/>
    </row>
    <row r="35" spans="3:35" ht="18.75" customHeight="1">
      <c r="C35" s="667"/>
      <c r="D35" s="640" t="s">
        <v>790</v>
      </c>
      <c r="E35" s="640"/>
      <c r="F35" s="640"/>
      <c r="G35" s="640"/>
      <c r="H35" s="640"/>
      <c r="I35" s="640"/>
      <c r="J35" s="640"/>
      <c r="K35" s="640"/>
      <c r="L35" s="640"/>
      <c r="M35" s="640"/>
      <c r="N35" s="640"/>
      <c r="O35" s="640"/>
      <c r="P35" s="640"/>
      <c r="Q35" s="640"/>
      <c r="R35" s="640"/>
      <c r="S35" s="641"/>
      <c r="T35" s="641"/>
      <c r="U35" s="641"/>
      <c r="V35" s="641"/>
      <c r="W35" s="641"/>
      <c r="X35" s="2415" t="e">
        <f>SUM(S32:V33)</f>
        <v>#DIV/0!</v>
      </c>
      <c r="Y35" s="2415"/>
      <c r="Z35" s="2415"/>
      <c r="AA35" s="2415"/>
      <c r="AE35" s="2420"/>
      <c r="AF35" s="2420"/>
      <c r="AG35" s="2420"/>
      <c r="AH35" s="2420"/>
      <c r="AI35" s="2420"/>
    </row>
    <row r="36" spans="3:35" ht="13">
      <c r="C36" s="667"/>
      <c r="D36" s="640"/>
      <c r="E36" s="640"/>
      <c r="F36" s="640"/>
      <c r="G36" s="640"/>
      <c r="H36" s="640"/>
      <c r="I36" s="640"/>
      <c r="J36" s="640"/>
      <c r="K36" s="640"/>
      <c r="L36" s="640"/>
      <c r="M36" s="640"/>
      <c r="N36" s="640"/>
      <c r="O36" s="640"/>
      <c r="P36" s="640"/>
      <c r="Q36" s="640"/>
      <c r="R36" s="640"/>
      <c r="S36" s="641"/>
      <c r="T36" s="641"/>
      <c r="U36" s="641"/>
      <c r="V36" s="641"/>
      <c r="W36" s="641"/>
      <c r="X36" s="641"/>
      <c r="Y36" s="641"/>
      <c r="Z36" s="641"/>
      <c r="AA36" s="641"/>
      <c r="AE36" s="2420"/>
      <c r="AF36" s="2420"/>
      <c r="AG36" s="2420"/>
      <c r="AH36" s="2420"/>
      <c r="AI36" s="2420"/>
    </row>
    <row r="37" spans="3:27" ht="13">
      <c r="C37" s="667" t="s">
        <v>791</v>
      </c>
      <c r="D37" s="640"/>
      <c r="E37" s="640"/>
      <c r="F37" s="640"/>
      <c r="G37" s="640"/>
      <c r="H37" s="640"/>
      <c r="I37" s="640"/>
      <c r="J37" s="640"/>
      <c r="K37" s="640"/>
      <c r="L37" s="640"/>
      <c r="M37" s="640"/>
      <c r="N37" s="640"/>
      <c r="O37" s="640"/>
      <c r="P37" s="640"/>
      <c r="Q37" s="640"/>
      <c r="R37" s="640"/>
      <c r="S37" s="641"/>
      <c r="T37" s="641"/>
      <c r="U37" s="641"/>
      <c r="V37" s="641"/>
      <c r="W37" s="641"/>
      <c r="X37" s="641"/>
      <c r="Y37" s="641"/>
      <c r="Z37" s="641"/>
      <c r="AA37" s="641"/>
    </row>
    <row r="38" spans="3:27">
      <c r="C38" s="640"/>
      <c r="D38" s="674" t="s">
        <v>788</v>
      </c>
      <c r="E38" s="640"/>
      <c r="F38" s="640"/>
      <c r="G38" s="640"/>
      <c r="H38" s="640"/>
      <c r="I38" s="640"/>
      <c r="J38" s="640"/>
      <c r="K38" s="640"/>
      <c r="L38" s="640"/>
      <c r="M38" s="640"/>
      <c r="N38" s="640"/>
      <c r="O38" s="640"/>
      <c r="P38" s="640"/>
      <c r="Q38" s="640"/>
      <c r="R38" s="640"/>
      <c r="S38" s="2415" t="e">
        <f>IF('GENERAL INFO'!$G$114="X",'CalculationSheet'!N42,'CalculationSheet'!N132)</f>
        <v>#DIV/0!</v>
      </c>
      <c r="T38" s="2415"/>
      <c r="U38" s="2415"/>
      <c r="V38" s="2415"/>
      <c r="W38" s="672"/>
      <c r="X38" s="641"/>
      <c r="Y38" s="641"/>
      <c r="Z38" s="641"/>
      <c r="AA38" s="641"/>
    </row>
    <row r="39" spans="3:27">
      <c r="C39" s="640"/>
      <c r="D39" s="640" t="s">
        <v>789</v>
      </c>
      <c r="E39" s="640"/>
      <c r="F39" s="640"/>
      <c r="G39" s="640"/>
      <c r="H39" s="640"/>
      <c r="I39" s="640"/>
      <c r="J39" s="640"/>
      <c r="K39" s="640"/>
      <c r="L39" s="640"/>
      <c r="M39" s="640"/>
      <c r="N39" s="640"/>
      <c r="O39" s="640"/>
      <c r="P39" s="640"/>
      <c r="Q39" s="640"/>
      <c r="R39" s="640"/>
      <c r="S39" s="2415" t="e">
        <f>IF('GENERAL INFO'!$G$114="X",'CalculationSheet'!N43,'CalculationSheet'!N133)</f>
        <v>#DIV/0!</v>
      </c>
      <c r="T39" s="2415"/>
      <c r="U39" s="2415"/>
      <c r="V39" s="2415"/>
      <c r="W39" s="672"/>
      <c r="X39" s="641"/>
      <c r="Y39" s="641"/>
      <c r="Z39" s="641"/>
      <c r="AA39" s="641"/>
    </row>
    <row r="40" spans="3:27" ht="6" customHeight="1">
      <c r="C40" s="640"/>
      <c r="D40" s="640"/>
      <c r="E40" s="640"/>
      <c r="F40" s="640"/>
      <c r="G40" s="640"/>
      <c r="H40" s="640"/>
      <c r="I40" s="640"/>
      <c r="J40" s="640"/>
      <c r="K40" s="640"/>
      <c r="L40" s="640"/>
      <c r="M40" s="640"/>
      <c r="N40" s="640"/>
      <c r="O40" s="640"/>
      <c r="P40" s="640"/>
      <c r="Q40" s="640"/>
      <c r="R40" s="640"/>
      <c r="S40" s="673"/>
      <c r="T40" s="673"/>
      <c r="U40" s="673"/>
      <c r="V40" s="673"/>
      <c r="W40" s="672"/>
      <c r="X40" s="641"/>
      <c r="Y40" s="641"/>
      <c r="Z40" s="641"/>
      <c r="AA40" s="641"/>
    </row>
    <row r="41" spans="3:27" s="656" customFormat="1" ht="18.65" customHeight="1">
      <c r="C41" s="655"/>
      <c r="D41" s="655" t="s">
        <v>792</v>
      </c>
      <c r="E41" s="655"/>
      <c r="F41" s="655"/>
      <c r="G41" s="655"/>
      <c r="H41" s="655"/>
      <c r="I41" s="655"/>
      <c r="J41" s="655"/>
      <c r="K41" s="655"/>
      <c r="L41" s="655"/>
      <c r="M41" s="655"/>
      <c r="N41" s="655"/>
      <c r="O41" s="655"/>
      <c r="P41" s="655"/>
      <c r="Q41" s="655"/>
      <c r="R41" s="655"/>
      <c r="S41" s="755"/>
      <c r="T41" s="755"/>
      <c r="U41" s="755"/>
      <c r="V41" s="755"/>
      <c r="W41" s="755"/>
      <c r="X41" s="2416" t="e">
        <f>SUM(S37:V39)</f>
        <v>#DIV/0!</v>
      </c>
      <c r="Y41" s="2416"/>
      <c r="Z41" s="2416"/>
      <c r="AA41" s="2416"/>
    </row>
    <row r="42" spans="1:16" s="641" customFormat="1">
      <c r="A42" s="653"/>
      <c r="B42" s="653"/>
      <c r="C42" s="690" t="s">
        <v>804</v>
      </c>
      <c r="D42" s="653"/>
      <c r="E42" s="653"/>
      <c r="F42" s="653"/>
      <c r="G42" s="653"/>
      <c r="H42" s="653"/>
      <c r="I42" s="653"/>
      <c r="J42" s="653"/>
      <c r="K42" s="653"/>
      <c r="L42" s="653"/>
      <c r="M42" s="653"/>
      <c r="N42" s="653"/>
      <c r="O42" s="653"/>
      <c r="P42" s="653"/>
    </row>
    <row r="43" spans="1:22" s="641" customFormat="1">
      <c r="A43" s="653"/>
      <c r="B43" s="653"/>
      <c r="C43" s="690"/>
      <c r="D43" s="653" t="s">
        <v>992</v>
      </c>
      <c r="E43" s="653"/>
      <c r="F43" s="653"/>
      <c r="G43" s="653"/>
      <c r="H43" s="653"/>
      <c r="I43" s="653"/>
      <c r="J43" s="653"/>
      <c r="K43" s="653"/>
      <c r="L43" s="653"/>
      <c r="M43" s="653"/>
      <c r="N43" s="653"/>
      <c r="O43" s="653"/>
      <c r="P43" s="653"/>
      <c r="S43" s="2415">
        <f>+'GENERAL INFO'!V151</f>
        <v>0</v>
      </c>
      <c r="T43" s="2415"/>
      <c r="U43" s="2415"/>
      <c r="V43" s="2415"/>
    </row>
    <row r="44" spans="1:22" s="641" customFormat="1">
      <c r="A44" s="653"/>
      <c r="B44" s="653"/>
      <c r="C44" s="690"/>
      <c r="D44" s="653" t="s">
        <v>1027</v>
      </c>
      <c r="E44" s="653"/>
      <c r="F44" s="653"/>
      <c r="G44" s="653"/>
      <c r="H44" s="653"/>
      <c r="I44" s="653"/>
      <c r="J44" s="653"/>
      <c r="K44" s="653"/>
      <c r="L44" s="653"/>
      <c r="M44" s="653"/>
      <c r="N44" s="653"/>
      <c r="O44" s="653"/>
      <c r="P44" s="653"/>
      <c r="S44" s="2415">
        <f>+'JAPANESE INCOME'!J149</f>
        <v>0</v>
      </c>
      <c r="T44" s="2415"/>
      <c r="U44" s="2415"/>
      <c r="V44" s="2415"/>
    </row>
    <row r="45" spans="1:22" s="641" customFormat="1">
      <c r="A45" s="653"/>
      <c r="B45" s="653"/>
      <c r="C45" s="690"/>
      <c r="D45" s="653" t="s">
        <v>938</v>
      </c>
      <c r="E45" s="653"/>
      <c r="F45" s="653"/>
      <c r="G45" s="653"/>
      <c r="H45" s="653"/>
      <c r="I45" s="653"/>
      <c r="J45" s="653"/>
      <c r="K45" s="653"/>
      <c r="L45" s="653"/>
      <c r="M45" s="653"/>
      <c r="N45" s="653"/>
      <c r="O45" s="653"/>
      <c r="P45" s="653"/>
      <c r="S45" s="2415">
        <f>+'1770S JP'!AH83</f>
        <v>0</v>
      </c>
      <c r="T45" s="2415"/>
      <c r="U45" s="2415"/>
      <c r="V45" s="2415"/>
    </row>
    <row r="46" spans="1:23" s="641" customFormat="1" ht="6" customHeight="1">
      <c r="A46" s="653"/>
      <c r="B46" s="653"/>
      <c r="C46" s="653"/>
      <c r="D46" s="653"/>
      <c r="E46" s="653"/>
      <c r="F46" s="653"/>
      <c r="G46" s="653"/>
      <c r="H46" s="653"/>
      <c r="I46" s="653"/>
      <c r="J46" s="653"/>
      <c r="K46" s="653"/>
      <c r="L46" s="653"/>
      <c r="M46" s="653"/>
      <c r="N46" s="653"/>
      <c r="O46" s="653"/>
      <c r="P46" s="653"/>
      <c r="S46" s="673"/>
      <c r="T46" s="673"/>
      <c r="U46" s="673"/>
      <c r="V46" s="673"/>
      <c r="W46" s="672"/>
    </row>
    <row r="47" spans="1:27" s="641" customFormat="1" ht="19.15" customHeight="1">
      <c r="A47" s="653"/>
      <c r="B47" s="653"/>
      <c r="C47" s="690"/>
      <c r="D47" s="691" t="s">
        <v>939</v>
      </c>
      <c r="E47" s="653"/>
      <c r="F47" s="653"/>
      <c r="G47" s="653"/>
      <c r="H47" s="653"/>
      <c r="I47" s="653"/>
      <c r="J47" s="653"/>
      <c r="K47" s="653"/>
      <c r="L47" s="653"/>
      <c r="M47" s="653"/>
      <c r="N47" s="653"/>
      <c r="O47" s="653"/>
      <c r="P47" s="653"/>
      <c r="X47" s="2416">
        <f>+SUM(S43:V45)</f>
        <v>0</v>
      </c>
      <c r="Y47" s="2416"/>
      <c r="Z47" s="2416"/>
      <c r="AA47" s="2416"/>
    </row>
    <row r="48" spans="1:27" s="641" customFormat="1" ht="6" customHeight="1">
      <c r="A48" s="653"/>
      <c r="B48" s="653"/>
      <c r="C48" s="690"/>
      <c r="D48" s="691"/>
      <c r="E48" s="653"/>
      <c r="F48" s="653"/>
      <c r="G48" s="653"/>
      <c r="H48" s="653"/>
      <c r="I48" s="653"/>
      <c r="J48" s="653"/>
      <c r="K48" s="653"/>
      <c r="L48" s="653"/>
      <c r="M48" s="653"/>
      <c r="N48" s="653"/>
      <c r="O48" s="653"/>
      <c r="P48" s="653"/>
      <c r="X48" s="756"/>
      <c r="Y48" s="756"/>
      <c r="Z48" s="756"/>
      <c r="AA48" s="756"/>
    </row>
    <row r="49" spans="1:16" s="641" customFormat="1" ht="5.5" customHeight="1" thickBot="1">
      <c r="A49" s="653"/>
      <c r="B49" s="653"/>
      <c r="C49" s="690"/>
      <c r="D49" s="653"/>
      <c r="E49" s="653"/>
      <c r="F49" s="653"/>
      <c r="G49" s="653"/>
      <c r="H49" s="653"/>
      <c r="I49" s="653"/>
      <c r="J49" s="653"/>
      <c r="K49" s="653"/>
      <c r="L49" s="653"/>
      <c r="M49" s="653"/>
      <c r="N49" s="653"/>
      <c r="O49" s="653"/>
      <c r="P49" s="653"/>
    </row>
    <row r="50" spans="1:27" s="652" customFormat="1" ht="25.9" customHeight="1" thickBot="1">
      <c r="A50" s="692"/>
      <c r="B50" s="692"/>
      <c r="C50" s="691" t="s">
        <v>980</v>
      </c>
      <c r="D50" s="692"/>
      <c r="E50" s="692"/>
      <c r="F50" s="692"/>
      <c r="G50" s="692"/>
      <c r="H50" s="692"/>
      <c r="I50" s="692"/>
      <c r="J50" s="692"/>
      <c r="K50" s="692"/>
      <c r="L50" s="692"/>
      <c r="M50" s="692"/>
      <c r="N50" s="692"/>
      <c r="O50" s="692"/>
      <c r="P50" s="692"/>
      <c r="X50" s="2422" t="e">
        <f>+X41-X47</f>
        <v>#DIV/0!</v>
      </c>
      <c r="Y50" s="2423"/>
      <c r="Z50" s="2423"/>
      <c r="AA50" s="2424"/>
    </row>
    <row r="51" spans="3:5">
      <c r="C51" s="640"/>
      <c r="D51" s="640"/>
      <c r="E51" s="640"/>
    </row>
    <row r="53" s="669" customFormat="1"/>
    <row r="54" s="669" customFormat="1"/>
    <row r="55" spans="2:2" s="669" customFormat="1" ht="19">
      <c r="B55" s="671" t="s">
        <v>1030</v>
      </c>
    </row>
    <row r="56" spans="3:3" s="669" customFormat="1" ht="18" customHeight="1" thickBot="1">
      <c r="C56" s="670"/>
    </row>
    <row r="57" spans="2:47" s="734" customFormat="1" ht="27" customHeight="1" thickBot="1">
      <c r="B57" s="2380" t="s">
        <v>703</v>
      </c>
      <c r="C57" s="2381"/>
      <c r="D57" s="2381"/>
      <c r="E57" s="2382"/>
      <c r="F57" s="2389" t="s">
        <v>793</v>
      </c>
      <c r="G57" s="2381"/>
      <c r="H57" s="2382"/>
      <c r="I57" s="2370" t="s">
        <v>1012</v>
      </c>
      <c r="J57" s="2371"/>
      <c r="K57" s="2371"/>
      <c r="L57" s="2371"/>
      <c r="M57" s="2371"/>
      <c r="N57" s="2371"/>
      <c r="O57" s="2371"/>
      <c r="P57" s="2372"/>
      <c r="Q57" s="2370" t="s">
        <v>1023</v>
      </c>
      <c r="R57" s="2371"/>
      <c r="S57" s="2371"/>
      <c r="T57" s="2371"/>
      <c r="U57" s="2371"/>
      <c r="V57" s="2371"/>
      <c r="W57" s="2371"/>
      <c r="X57" s="2372"/>
      <c r="Y57" s="2389" t="s">
        <v>1024</v>
      </c>
      <c r="Z57" s="2381"/>
      <c r="AA57" s="2381"/>
      <c r="AB57" s="2429"/>
      <c r="AC57" s="388"/>
      <c r="AD57" s="388"/>
      <c r="AF57" s="388"/>
      <c r="AG57" s="388"/>
      <c r="AH57" s="388"/>
      <c r="AI57" s="388"/>
      <c r="AJ57" s="388"/>
      <c r="AK57" s="388"/>
      <c r="AL57" s="389"/>
      <c r="AM57" s="389"/>
      <c r="AN57" s="389"/>
      <c r="AO57" s="389"/>
      <c r="AP57" s="389"/>
      <c r="AQ57" s="389"/>
      <c r="AR57" s="389"/>
      <c r="AS57" s="389"/>
      <c r="AT57" s="389"/>
      <c r="AU57" s="389"/>
    </row>
    <row r="58" spans="2:47" s="734" customFormat="1" ht="27" customHeight="1" thickBot="1">
      <c r="B58" s="2383"/>
      <c r="C58" s="2350"/>
      <c r="D58" s="2350"/>
      <c r="E58" s="2351"/>
      <c r="F58" s="2349"/>
      <c r="G58" s="2350"/>
      <c r="H58" s="2351"/>
      <c r="I58" s="2370" t="s">
        <v>1013</v>
      </c>
      <c r="J58" s="2371"/>
      <c r="K58" s="2371"/>
      <c r="L58" s="2372"/>
      <c r="M58" s="2371" t="s">
        <v>1014</v>
      </c>
      <c r="N58" s="2371"/>
      <c r="O58" s="2371"/>
      <c r="P58" s="2372"/>
      <c r="Q58" s="2370" t="s">
        <v>1013</v>
      </c>
      <c r="R58" s="2371"/>
      <c r="S58" s="2371"/>
      <c r="T58" s="2372"/>
      <c r="U58" s="2371" t="s">
        <v>1014</v>
      </c>
      <c r="V58" s="2371"/>
      <c r="W58" s="2371"/>
      <c r="X58" s="2372"/>
      <c r="Y58" s="2349"/>
      <c r="Z58" s="2350"/>
      <c r="AA58" s="2350"/>
      <c r="AB58" s="2430"/>
      <c r="AC58" s="388"/>
      <c r="AD58" s="388"/>
      <c r="AF58" s="388"/>
      <c r="AG58" s="388"/>
      <c r="AH58" s="388"/>
      <c r="AI58" s="388"/>
      <c r="AJ58" s="388"/>
      <c r="AK58" s="388"/>
      <c r="AL58" s="389"/>
      <c r="AM58" s="389"/>
      <c r="AN58" s="389"/>
      <c r="AO58" s="389"/>
      <c r="AP58" s="389"/>
      <c r="AQ58" s="389"/>
      <c r="AR58" s="389"/>
      <c r="AS58" s="389"/>
      <c r="AT58" s="389"/>
      <c r="AU58" s="389"/>
    </row>
    <row r="59" spans="2:47" s="735" customFormat="1" ht="16.15" customHeight="1" thickBot="1">
      <c r="B59" s="2387" t="s">
        <v>65</v>
      </c>
      <c r="C59" s="2368"/>
      <c r="D59" s="2368"/>
      <c r="E59" s="2369"/>
      <c r="F59" s="2367" t="s">
        <v>64</v>
      </c>
      <c r="G59" s="2368"/>
      <c r="H59" s="2369"/>
      <c r="I59" s="2367" t="s">
        <v>66</v>
      </c>
      <c r="J59" s="2368"/>
      <c r="K59" s="2368"/>
      <c r="L59" s="2369"/>
      <c r="M59" s="2367" t="s">
        <v>67</v>
      </c>
      <c r="N59" s="2368"/>
      <c r="O59" s="2368"/>
      <c r="P59" s="2369"/>
      <c r="Q59" s="2367" t="s">
        <v>68</v>
      </c>
      <c r="R59" s="2368"/>
      <c r="S59" s="2368"/>
      <c r="T59" s="2369"/>
      <c r="U59" s="2367" t="s">
        <v>100</v>
      </c>
      <c r="V59" s="2368"/>
      <c r="W59" s="2368"/>
      <c r="X59" s="2369"/>
      <c r="Y59" s="2367" t="s">
        <v>154</v>
      </c>
      <c r="Z59" s="2368"/>
      <c r="AA59" s="2368"/>
      <c r="AB59" s="2431"/>
      <c r="AC59" s="388"/>
      <c r="AD59" s="388"/>
      <c r="AF59" s="388"/>
      <c r="AG59" s="388"/>
      <c r="AH59" s="388"/>
      <c r="AI59" s="388"/>
      <c r="AJ59" s="388"/>
      <c r="AK59" s="388"/>
      <c r="AL59" s="389"/>
      <c r="AM59" s="389"/>
      <c r="AN59" s="389"/>
      <c r="AO59" s="389"/>
      <c r="AP59" s="389"/>
      <c r="AQ59" s="389"/>
      <c r="AR59" s="389"/>
      <c r="AS59" s="389"/>
      <c r="AT59" s="389"/>
      <c r="AU59" s="389"/>
    </row>
    <row r="60" spans="2:37" s="386" customFormat="1" ht="6.75" customHeight="1">
      <c r="B60" s="1399"/>
      <c r="C60" s="1400"/>
      <c r="D60" s="1400"/>
      <c r="E60" s="1400"/>
      <c r="F60" s="2319"/>
      <c r="G60" s="2320"/>
      <c r="H60" s="2321"/>
      <c r="I60" s="1401"/>
      <c r="J60" s="1400"/>
      <c r="K60" s="1400"/>
      <c r="L60" s="1402"/>
      <c r="M60" s="1400"/>
      <c r="N60" s="1400"/>
      <c r="O60" s="1400"/>
      <c r="P60" s="1402"/>
      <c r="Q60" s="1401"/>
      <c r="R60" s="1400"/>
      <c r="S60" s="1400"/>
      <c r="T60" s="1403"/>
      <c r="U60" s="1404"/>
      <c r="V60" s="1404"/>
      <c r="W60" s="1404"/>
      <c r="X60" s="1403"/>
      <c r="Y60" s="1404"/>
      <c r="Z60" s="1404"/>
      <c r="AA60" s="1404"/>
      <c r="AB60" s="1405"/>
      <c r="AC60" s="390"/>
      <c r="AD60" s="390"/>
      <c r="AF60" s="390"/>
      <c r="AG60" s="390"/>
      <c r="AH60" s="390"/>
      <c r="AI60" s="390"/>
      <c r="AJ60" s="390"/>
      <c r="AK60" s="390"/>
    </row>
    <row r="61" spans="2:37" s="386" customFormat="1">
      <c r="B61" s="2334" t="str">
        <f>+'JAPANESE INCOME'!A138</f>
        <v/>
      </c>
      <c r="C61" s="2335"/>
      <c r="D61" s="2335"/>
      <c r="E61" s="2336"/>
      <c r="F61" s="2337" t="str">
        <f>+'JAPANESE INCOME'!F138</f>
        <v/>
      </c>
      <c r="G61" s="2338"/>
      <c r="H61" s="2339"/>
      <c r="I61" s="2352" t="str">
        <f>'JAPANESE INCOME'!G138</f>
        <v/>
      </c>
      <c r="J61" s="2353"/>
      <c r="K61" s="2353"/>
      <c r="L61" s="2354"/>
      <c r="M61" s="2322" t="str">
        <f>'JAPANESE INCOME'!H138</f>
        <v/>
      </c>
      <c r="N61" s="2323"/>
      <c r="O61" s="2323"/>
      <c r="P61" s="2324"/>
      <c r="Q61" s="2352" t="str">
        <f>+'JAPANESE INCOME'!I138</f>
        <v/>
      </c>
      <c r="R61" s="2353"/>
      <c r="S61" s="2353"/>
      <c r="T61" s="2354"/>
      <c r="U61" s="2322" t="str">
        <f>+'JAPANESE INCOME'!J138</f>
        <v/>
      </c>
      <c r="V61" s="2323"/>
      <c r="W61" s="2323"/>
      <c r="X61" s="2324"/>
      <c r="Y61" s="2322"/>
      <c r="Z61" s="2323"/>
      <c r="AA61" s="2323"/>
      <c r="AB61" s="2408"/>
      <c r="AC61" s="386"/>
      <c r="AD61" s="386"/>
      <c r="AF61" s="386"/>
      <c r="AG61" s="386"/>
      <c r="AH61" s="386"/>
      <c r="AI61" s="386"/>
      <c r="AJ61" s="386"/>
      <c r="AK61" s="386"/>
    </row>
    <row r="62" spans="2:37" s="386" customFormat="1">
      <c r="B62" s="2334" t="str">
        <f>+'JAPANESE INCOME'!A139</f>
        <v/>
      </c>
      <c r="C62" s="2335"/>
      <c r="D62" s="2335"/>
      <c r="E62" s="2336"/>
      <c r="F62" s="2337" t="str">
        <f>+'JAPANESE INCOME'!F139</f>
        <v/>
      </c>
      <c r="G62" s="2338"/>
      <c r="H62" s="2339"/>
      <c r="I62" s="2352" t="str">
        <f>'JAPANESE INCOME'!G139</f>
        <v/>
      </c>
      <c r="J62" s="2353"/>
      <c r="K62" s="2353"/>
      <c r="L62" s="2354"/>
      <c r="M62" s="2322" t="str">
        <f>'JAPANESE INCOME'!H139</f>
        <v/>
      </c>
      <c r="N62" s="2323"/>
      <c r="O62" s="2323"/>
      <c r="P62" s="2324"/>
      <c r="Q62" s="2352" t="str">
        <f>+'JAPANESE INCOME'!I139</f>
        <v/>
      </c>
      <c r="R62" s="2353"/>
      <c r="S62" s="2353"/>
      <c r="T62" s="2354"/>
      <c r="U62" s="2322" t="str">
        <f>+'JAPANESE INCOME'!J139</f>
        <v/>
      </c>
      <c r="V62" s="2323"/>
      <c r="W62" s="2323"/>
      <c r="X62" s="2324"/>
      <c r="Y62" s="2409"/>
      <c r="Z62" s="2410"/>
      <c r="AA62" s="2410"/>
      <c r="AB62" s="2411"/>
      <c r="AC62" s="391"/>
      <c r="AD62" s="391"/>
      <c r="AF62" s="391"/>
      <c r="AG62" s="391"/>
      <c r="AH62" s="391"/>
      <c r="AI62" s="391"/>
      <c r="AJ62" s="391"/>
      <c r="AK62" s="391"/>
    </row>
    <row r="63" spans="2:37" s="386" customFormat="1">
      <c r="B63" s="2334" t="str">
        <f>+'JAPANESE INCOME'!A140</f>
        <v/>
      </c>
      <c r="C63" s="2335"/>
      <c r="D63" s="2335"/>
      <c r="E63" s="2336"/>
      <c r="F63" s="2337" t="str">
        <f>+'JAPANESE INCOME'!F140</f>
        <v/>
      </c>
      <c r="G63" s="2338"/>
      <c r="H63" s="2339"/>
      <c r="I63" s="2352" t="str">
        <f>'JAPANESE INCOME'!G140</f>
        <v/>
      </c>
      <c r="J63" s="2353"/>
      <c r="K63" s="2353"/>
      <c r="L63" s="2354"/>
      <c r="M63" s="2322" t="str">
        <f>'JAPANESE INCOME'!H140</f>
        <v/>
      </c>
      <c r="N63" s="2323"/>
      <c r="O63" s="2323"/>
      <c r="P63" s="2324"/>
      <c r="Q63" s="2352" t="str">
        <f>+'JAPANESE INCOME'!I140</f>
        <v/>
      </c>
      <c r="R63" s="2353"/>
      <c r="S63" s="2353"/>
      <c r="T63" s="2354"/>
      <c r="U63" s="2322" t="str">
        <f>+'JAPANESE INCOME'!J140</f>
        <v/>
      </c>
      <c r="V63" s="2323"/>
      <c r="W63" s="2323"/>
      <c r="X63" s="2324"/>
      <c r="Y63" s="2409"/>
      <c r="Z63" s="2410"/>
      <c r="AA63" s="2410"/>
      <c r="AB63" s="2411"/>
      <c r="AC63" s="391"/>
      <c r="AD63" s="391"/>
      <c r="AF63" s="391"/>
      <c r="AG63" s="391"/>
      <c r="AH63" s="391"/>
      <c r="AI63" s="391"/>
      <c r="AJ63" s="391"/>
      <c r="AK63" s="391"/>
    </row>
    <row r="64" spans="2:37" s="386" customFormat="1">
      <c r="B64" s="2334" t="str">
        <f>+'JAPANESE INCOME'!A141</f>
        <v/>
      </c>
      <c r="C64" s="2335"/>
      <c r="D64" s="2335"/>
      <c r="E64" s="2336"/>
      <c r="F64" s="2337" t="str">
        <f>+'JAPANESE INCOME'!F141</f>
        <v/>
      </c>
      <c r="G64" s="2338"/>
      <c r="H64" s="2339"/>
      <c r="I64" s="2352" t="str">
        <f>'JAPANESE INCOME'!G141</f>
        <v/>
      </c>
      <c r="J64" s="2353"/>
      <c r="K64" s="2353"/>
      <c r="L64" s="2354"/>
      <c r="M64" s="2322" t="str">
        <f>'JAPANESE INCOME'!H141</f>
        <v/>
      </c>
      <c r="N64" s="2323"/>
      <c r="O64" s="2323"/>
      <c r="P64" s="2324"/>
      <c r="Q64" s="2352" t="str">
        <f>+'JAPANESE INCOME'!I141</f>
        <v/>
      </c>
      <c r="R64" s="2353"/>
      <c r="S64" s="2353"/>
      <c r="T64" s="2354"/>
      <c r="U64" s="2322" t="str">
        <f>+'JAPANESE INCOME'!J141</f>
        <v/>
      </c>
      <c r="V64" s="2323"/>
      <c r="W64" s="2323"/>
      <c r="X64" s="2324"/>
      <c r="Y64" s="2409"/>
      <c r="Z64" s="2410"/>
      <c r="AA64" s="2410"/>
      <c r="AB64" s="2411"/>
      <c r="AC64" s="391"/>
      <c r="AD64" s="391"/>
      <c r="AF64" s="391"/>
      <c r="AG64" s="391"/>
      <c r="AH64" s="391"/>
      <c r="AI64" s="391"/>
      <c r="AJ64" s="391"/>
      <c r="AK64" s="391"/>
    </row>
    <row r="65" spans="2:37" s="386" customFormat="1">
      <c r="B65" s="2334" t="str">
        <f>+'JAPANESE INCOME'!A142</f>
        <v/>
      </c>
      <c r="C65" s="2335"/>
      <c r="D65" s="2335"/>
      <c r="E65" s="2336"/>
      <c r="F65" s="2337" t="str">
        <f>+'JAPANESE INCOME'!F142</f>
        <v/>
      </c>
      <c r="G65" s="2338"/>
      <c r="H65" s="2339"/>
      <c r="I65" s="2352" t="str">
        <f>'JAPANESE INCOME'!G142</f>
        <v/>
      </c>
      <c r="J65" s="2353"/>
      <c r="K65" s="2353"/>
      <c r="L65" s="2354"/>
      <c r="M65" s="2322" t="str">
        <f>'JAPANESE INCOME'!H142</f>
        <v/>
      </c>
      <c r="N65" s="2323"/>
      <c r="O65" s="2323"/>
      <c r="P65" s="2324"/>
      <c r="Q65" s="2352" t="str">
        <f>+'JAPANESE INCOME'!I142</f>
        <v/>
      </c>
      <c r="R65" s="2353"/>
      <c r="S65" s="2353"/>
      <c r="T65" s="2354"/>
      <c r="U65" s="2322" t="str">
        <f>+'JAPANESE INCOME'!J142</f>
        <v/>
      </c>
      <c r="V65" s="2323"/>
      <c r="W65" s="2323"/>
      <c r="X65" s="2324"/>
      <c r="Y65" s="2409"/>
      <c r="Z65" s="2410"/>
      <c r="AA65" s="2410"/>
      <c r="AB65" s="2411"/>
      <c r="AC65" s="391"/>
      <c r="AD65" s="391"/>
      <c r="AF65" s="391"/>
      <c r="AG65" s="391"/>
      <c r="AH65" s="391"/>
      <c r="AI65" s="391"/>
      <c r="AJ65" s="391"/>
      <c r="AK65" s="391"/>
    </row>
    <row r="66" spans="2:37" s="386" customFormat="1">
      <c r="B66" s="2334" t="str">
        <f>+'JAPANESE INCOME'!A143</f>
        <v/>
      </c>
      <c r="C66" s="2335"/>
      <c r="D66" s="2335"/>
      <c r="E66" s="2336"/>
      <c r="F66" s="2337" t="str">
        <f>+'JAPANESE INCOME'!F143</f>
        <v/>
      </c>
      <c r="G66" s="2338"/>
      <c r="H66" s="2339"/>
      <c r="I66" s="2352" t="str">
        <f>'JAPANESE INCOME'!G143</f>
        <v/>
      </c>
      <c r="J66" s="2353"/>
      <c r="K66" s="2353"/>
      <c r="L66" s="2354"/>
      <c r="M66" s="2322" t="str">
        <f>'JAPANESE INCOME'!H143</f>
        <v/>
      </c>
      <c r="N66" s="2323"/>
      <c r="O66" s="2323"/>
      <c r="P66" s="2324"/>
      <c r="Q66" s="2352" t="str">
        <f>+'JAPANESE INCOME'!I143</f>
        <v/>
      </c>
      <c r="R66" s="2353"/>
      <c r="S66" s="2353"/>
      <c r="T66" s="2354"/>
      <c r="U66" s="2322" t="str">
        <f>+'JAPANESE INCOME'!J143</f>
        <v/>
      </c>
      <c r="V66" s="2323"/>
      <c r="W66" s="2323"/>
      <c r="X66" s="2324"/>
      <c r="Y66" s="2409"/>
      <c r="Z66" s="2410"/>
      <c r="AA66" s="2410"/>
      <c r="AB66" s="2411"/>
      <c r="AC66" s="391"/>
      <c r="AD66" s="391"/>
      <c r="AF66" s="391"/>
      <c r="AG66" s="391"/>
      <c r="AH66" s="391"/>
      <c r="AI66" s="391"/>
      <c r="AJ66" s="391"/>
      <c r="AK66" s="391"/>
    </row>
    <row r="67" spans="2:37" s="386" customFormat="1">
      <c r="B67" s="2334">
        <f>+'JAPANESE INCOME'!A144</f>
        <v>0</v>
      </c>
      <c r="C67" s="2335"/>
      <c r="D67" s="2335"/>
      <c r="E67" s="2336"/>
      <c r="F67" s="2337">
        <f>+'JAPANESE INCOME'!F144</f>
        <v>0</v>
      </c>
      <c r="G67" s="2338"/>
      <c r="H67" s="2339"/>
      <c r="I67" s="2352">
        <f>'JAPANESE INCOME'!G144</f>
        <v>0</v>
      </c>
      <c r="J67" s="2353"/>
      <c r="K67" s="2353"/>
      <c r="L67" s="2354"/>
      <c r="M67" s="2322">
        <f>'JAPANESE INCOME'!H144</f>
        <v>0</v>
      </c>
      <c r="N67" s="2323"/>
      <c r="O67" s="2323"/>
      <c r="P67" s="2324"/>
      <c r="Q67" s="2352">
        <f>+'JAPANESE INCOME'!I144</f>
        <v>0</v>
      </c>
      <c r="R67" s="2353"/>
      <c r="S67" s="2353"/>
      <c r="T67" s="2354"/>
      <c r="U67" s="2322">
        <f>+'JAPANESE INCOME'!J144</f>
        <v>0</v>
      </c>
      <c r="V67" s="2323"/>
      <c r="W67" s="2323"/>
      <c r="X67" s="2324"/>
      <c r="Y67" s="2409"/>
      <c r="Z67" s="2410"/>
      <c r="AA67" s="2410"/>
      <c r="AB67" s="2411"/>
      <c r="AC67" s="391"/>
      <c r="AD67" s="391"/>
      <c r="AF67" s="391"/>
      <c r="AG67" s="391"/>
      <c r="AH67" s="391"/>
      <c r="AI67" s="391"/>
      <c r="AJ67" s="391"/>
      <c r="AK67" s="391"/>
    </row>
    <row r="68" spans="2:37" s="386" customFormat="1">
      <c r="B68" s="2355">
        <f>+'JAPANESE INCOME'!A145</f>
        <v>0</v>
      </c>
      <c r="C68" s="2356"/>
      <c r="D68" s="2356"/>
      <c r="E68" s="2357"/>
      <c r="F68" s="2358">
        <f>+'JAPANESE INCOME'!F145</f>
        <v>0</v>
      </c>
      <c r="G68" s="2359"/>
      <c r="H68" s="2360"/>
      <c r="I68" s="2361">
        <f>'JAPANESE INCOME'!G145</f>
        <v>0</v>
      </c>
      <c r="J68" s="2362"/>
      <c r="K68" s="2362"/>
      <c r="L68" s="2363"/>
      <c r="M68" s="2364">
        <f>'JAPANESE INCOME'!H145</f>
        <v>0</v>
      </c>
      <c r="N68" s="2365"/>
      <c r="O68" s="2365"/>
      <c r="P68" s="2366"/>
      <c r="Q68" s="2361">
        <f>+'JAPANESE INCOME'!I145</f>
        <v>0</v>
      </c>
      <c r="R68" s="2362"/>
      <c r="S68" s="2362"/>
      <c r="T68" s="2363"/>
      <c r="U68" s="2364">
        <f>+'JAPANESE INCOME'!J145</f>
        <v>0</v>
      </c>
      <c r="V68" s="2365"/>
      <c r="W68" s="2365"/>
      <c r="X68" s="2366"/>
      <c r="Y68" s="2412"/>
      <c r="Z68" s="2413"/>
      <c r="AA68" s="2413"/>
      <c r="AB68" s="2414"/>
      <c r="AC68" s="391"/>
      <c r="AD68" s="391"/>
      <c r="AF68" s="391"/>
      <c r="AG68" s="391"/>
      <c r="AH68" s="391"/>
      <c r="AI68" s="391"/>
      <c r="AJ68" s="391"/>
      <c r="AK68" s="391"/>
    </row>
    <row r="69" spans="2:37" s="386" customFormat="1" ht="5.25" customHeight="1" thickBot="1">
      <c r="B69" s="1406"/>
      <c r="C69" s="1407"/>
      <c r="D69" s="1407"/>
      <c r="E69" s="1407"/>
      <c r="F69" s="2390"/>
      <c r="G69" s="2391"/>
      <c r="H69" s="2392"/>
      <c r="I69" s="1408"/>
      <c r="J69" s="1409"/>
      <c r="K69" s="1409"/>
      <c r="L69" s="1410"/>
      <c r="M69" s="1411"/>
      <c r="N69" s="1411"/>
      <c r="O69" s="1411"/>
      <c r="P69" s="1412"/>
      <c r="Q69" s="1413"/>
      <c r="R69" s="1414"/>
      <c r="S69" s="1414"/>
      <c r="T69" s="1415"/>
      <c r="U69" s="1416"/>
      <c r="V69" s="1416"/>
      <c r="W69" s="1416"/>
      <c r="X69" s="1417"/>
      <c r="Y69" s="1416"/>
      <c r="Z69" s="1416"/>
      <c r="AA69" s="1416"/>
      <c r="AB69" s="1418"/>
      <c r="AC69" s="391"/>
      <c r="AD69" s="391"/>
      <c r="AF69" s="391"/>
      <c r="AG69" s="391"/>
      <c r="AH69" s="391"/>
      <c r="AI69" s="391"/>
      <c r="AJ69" s="391"/>
      <c r="AK69" s="391"/>
    </row>
    <row r="70" spans="2:47" s="386" customFormat="1" ht="13" thickBot="1">
      <c r="B70" s="393" t="s">
        <v>1015</v>
      </c>
      <c r="C70" s="394"/>
      <c r="D70" s="394"/>
      <c r="E70" s="394"/>
      <c r="F70" s="394"/>
      <c r="G70" s="394"/>
      <c r="H70" s="394"/>
      <c r="I70" s="2384">
        <f>+SUM(I61:L69)</f>
        <v>0</v>
      </c>
      <c r="J70" s="2385"/>
      <c r="K70" s="2385"/>
      <c r="L70" s="2386"/>
      <c r="M70" s="2328">
        <f>+SUM(M61:P69)</f>
        <v>0</v>
      </c>
      <c r="N70" s="2329"/>
      <c r="O70" s="2329"/>
      <c r="P70" s="2330"/>
      <c r="Q70" s="2384">
        <f>SUM(Q61:T68)</f>
        <v>0</v>
      </c>
      <c r="R70" s="2385"/>
      <c r="S70" s="2385"/>
      <c r="T70" s="2386"/>
      <c r="U70" s="2328">
        <f>+SUM(U61:X69)</f>
        <v>0</v>
      </c>
      <c r="V70" s="2329"/>
      <c r="W70" s="2329"/>
      <c r="X70" s="2330"/>
      <c r="Y70" s="2328">
        <f>+'JAPANESE INCOME'!J149</f>
        <v>0</v>
      </c>
      <c r="Z70" s="2329"/>
      <c r="AA70" s="2329"/>
      <c r="AB70" s="2432"/>
      <c r="AC70" s="395"/>
      <c r="AD70" s="395"/>
      <c r="AF70" s="395"/>
      <c r="AG70" s="395"/>
      <c r="AH70" s="395"/>
      <c r="AI70" s="395"/>
      <c r="AJ70" s="395"/>
      <c r="AK70" s="395"/>
      <c r="AP70" s="392"/>
      <c r="AQ70" s="392"/>
      <c r="AR70" s="392"/>
      <c r="AS70" s="392"/>
      <c r="AT70" s="392"/>
      <c r="AU70" s="392"/>
    </row>
    <row r="71" spans="3:31" s="386" customFormat="1">
      <c r="C71" s="386"/>
      <c r="D71" s="386"/>
      <c r="E71" s="396"/>
      <c r="F71" s="396"/>
      <c r="H71" s="397"/>
      <c r="I71" s="396"/>
      <c r="K71" s="386"/>
      <c r="L71" s="386"/>
      <c r="M71" s="386"/>
      <c r="N71" s="386"/>
      <c r="O71" s="386"/>
      <c r="P71" s="386"/>
      <c r="Q71" s="386"/>
      <c r="R71" s="397"/>
      <c r="S71" s="397"/>
      <c r="T71" s="397"/>
      <c r="U71" s="397"/>
      <c r="V71" s="397"/>
      <c r="W71" s="386"/>
      <c r="X71" s="386"/>
      <c r="Z71" s="386"/>
      <c r="AA71" s="386"/>
      <c r="AB71" s="386"/>
      <c r="AC71" s="386"/>
      <c r="AD71" s="386"/>
      <c r="AE71" s="386"/>
    </row>
    <row r="72" spans="3:31" s="386" customFormat="1" ht="33" customHeight="1">
      <c r="C72" s="386"/>
      <c r="D72" s="386"/>
      <c r="E72" s="386"/>
      <c r="F72" s="386"/>
      <c r="G72" s="386"/>
      <c r="H72" s="398"/>
      <c r="I72" s="398"/>
      <c r="J72" s="398"/>
      <c r="K72" s="398"/>
      <c r="L72" s="391"/>
      <c r="M72" s="391"/>
      <c r="N72" s="391"/>
      <c r="O72" s="391"/>
      <c r="P72" s="398"/>
      <c r="Q72" s="398"/>
      <c r="R72" s="398"/>
      <c r="S72" s="398"/>
      <c r="T72" s="391"/>
      <c r="U72" s="398"/>
      <c r="V72" s="398"/>
      <c r="W72" s="398"/>
      <c r="X72" s="398"/>
      <c r="Y72" s="398"/>
      <c r="Z72" s="398"/>
      <c r="AA72" s="398"/>
      <c r="AB72" s="398"/>
      <c r="AC72" s="391"/>
      <c r="AD72" s="391"/>
      <c r="AE72" s="391"/>
    </row>
    <row r="73" spans="2:36" s="378" customFormat="1" ht="19">
      <c r="B73" s="658" t="s">
        <v>1215</v>
      </c>
      <c r="G73" s="400"/>
      <c r="H73" s="400"/>
      <c r="I73" s="400"/>
      <c r="J73" s="400"/>
      <c r="K73" s="400"/>
      <c r="L73" s="400"/>
      <c r="M73" s="400"/>
      <c r="N73" s="400"/>
      <c r="O73" s="400"/>
      <c r="P73" s="400"/>
      <c r="Q73" s="400"/>
      <c r="R73" s="400"/>
      <c r="S73" s="400"/>
      <c r="T73" s="400"/>
      <c r="U73" s="398"/>
      <c r="V73" s="398"/>
      <c r="W73" s="398"/>
      <c r="X73" s="398"/>
      <c r="Y73" s="398"/>
      <c r="Z73" s="398"/>
      <c r="AA73" s="398"/>
      <c r="AB73" s="398"/>
      <c r="AC73" s="400"/>
      <c r="AD73" s="400"/>
      <c r="AE73" s="400"/>
      <c r="AF73" s="400"/>
      <c r="AG73" s="400"/>
      <c r="AH73" s="400"/>
      <c r="AI73" s="400"/>
      <c r="AJ73" s="400"/>
    </row>
    <row r="74" spans="8:36" s="378" customFormat="1" ht="10.15" customHeight="1">
      <c r="H74" s="400"/>
      <c r="I74" s="400"/>
      <c r="J74" s="400"/>
      <c r="K74" s="400"/>
      <c r="L74" s="400"/>
      <c r="M74" s="400"/>
      <c r="N74" s="400"/>
      <c r="O74" s="400"/>
      <c r="P74" s="400"/>
      <c r="Q74" s="400"/>
      <c r="R74" s="400"/>
      <c r="S74" s="400"/>
      <c r="T74" s="400"/>
      <c r="U74" s="400"/>
      <c r="V74" s="400"/>
      <c r="W74" s="400"/>
      <c r="X74" s="400"/>
      <c r="Y74" s="400"/>
      <c r="Z74" s="400"/>
      <c r="AA74" s="400"/>
      <c r="AB74" s="400"/>
      <c r="AC74" s="400"/>
      <c r="AD74" s="400"/>
      <c r="AE74" s="400"/>
      <c r="AF74" s="400"/>
      <c r="AG74" s="400"/>
      <c r="AH74" s="400"/>
      <c r="AI74" s="400"/>
      <c r="AJ74" s="400"/>
    </row>
    <row r="75" spans="8:31" s="378" customFormat="1" ht="13" thickBot="1">
      <c r="H75" s="400"/>
      <c r="I75" s="400"/>
      <c r="J75" s="400"/>
      <c r="K75" s="400"/>
      <c r="L75" s="400"/>
      <c r="M75" s="400"/>
      <c r="N75" s="400"/>
      <c r="O75" s="400"/>
      <c r="P75" s="400"/>
      <c r="Q75" s="400"/>
      <c r="R75" s="400"/>
      <c r="S75" s="400"/>
      <c r="T75" s="400"/>
      <c r="U75" s="400"/>
      <c r="V75" s="400"/>
      <c r="W75" s="400"/>
      <c r="X75" s="400"/>
      <c r="Y75" s="400"/>
      <c r="Z75" s="400"/>
      <c r="AA75" s="400"/>
      <c r="AB75" s="400"/>
      <c r="AC75" s="400"/>
      <c r="AD75" s="400"/>
      <c r="AE75" s="400"/>
    </row>
    <row r="76" spans="2:42" s="386" customFormat="1" ht="17.5" customHeight="1">
      <c r="B76" s="2380" t="s">
        <v>703</v>
      </c>
      <c r="C76" s="2381"/>
      <c r="D76" s="2381"/>
      <c r="E76" s="2381"/>
      <c r="F76" s="2381"/>
      <c r="G76" s="2382"/>
      <c r="H76" s="2340" t="s">
        <v>793</v>
      </c>
      <c r="I76" s="2341"/>
      <c r="J76" s="2342"/>
      <c r="K76" s="2346" t="s">
        <v>1012</v>
      </c>
      <c r="L76" s="2347"/>
      <c r="M76" s="2347"/>
      <c r="N76" s="2347"/>
      <c r="O76" s="2347"/>
      <c r="P76" s="2347"/>
      <c r="Q76" s="2347"/>
      <c r="R76" s="2348"/>
      <c r="S76" s="2346" t="s">
        <v>1026</v>
      </c>
      <c r="T76" s="2347"/>
      <c r="U76" s="2347"/>
      <c r="V76" s="2347"/>
      <c r="W76" s="2347"/>
      <c r="X76" s="2347"/>
      <c r="Y76" s="2347"/>
      <c r="Z76" s="2347"/>
      <c r="AA76" s="2347"/>
      <c r="AB76" s="2400"/>
      <c r="AC76" s="388"/>
      <c r="AD76" s="388"/>
      <c r="AE76" s="388"/>
      <c r="AF76" s="388"/>
      <c r="AG76" s="389"/>
      <c r="AH76" s="389"/>
      <c r="AI76" s="389"/>
      <c r="AJ76" s="389"/>
      <c r="AK76" s="389"/>
      <c r="AL76" s="389"/>
      <c r="AM76" s="389"/>
      <c r="AN76" s="389"/>
      <c r="AO76" s="389"/>
      <c r="AP76" s="389"/>
    </row>
    <row r="77" spans="2:42" s="386" customFormat="1" ht="27" customHeight="1" thickBot="1">
      <c r="B77" s="2383"/>
      <c r="C77" s="2350"/>
      <c r="D77" s="2350"/>
      <c r="E77" s="2350"/>
      <c r="F77" s="2350"/>
      <c r="G77" s="2351"/>
      <c r="H77" s="2343"/>
      <c r="I77" s="2344"/>
      <c r="J77" s="2345"/>
      <c r="K77" s="2349" t="s">
        <v>1013</v>
      </c>
      <c r="L77" s="2350"/>
      <c r="M77" s="2350"/>
      <c r="N77" s="2351"/>
      <c r="O77" s="2350" t="s">
        <v>1014</v>
      </c>
      <c r="P77" s="2350"/>
      <c r="Q77" s="2350"/>
      <c r="R77" s="2351"/>
      <c r="S77" s="2401" t="s">
        <v>1025</v>
      </c>
      <c r="T77" s="2402"/>
      <c r="U77" s="2402"/>
      <c r="V77" s="2402"/>
      <c r="W77" s="2403"/>
      <c r="X77" s="2402" t="s">
        <v>1027</v>
      </c>
      <c r="Y77" s="2402"/>
      <c r="Z77" s="2402"/>
      <c r="AA77" s="2402"/>
      <c r="AB77" s="2404"/>
      <c r="AC77" s="388"/>
      <c r="AD77" s="388"/>
      <c r="AE77" s="388"/>
      <c r="AF77" s="388"/>
      <c r="AG77" s="389"/>
      <c r="AH77" s="389"/>
      <c r="AI77" s="389"/>
      <c r="AJ77" s="389"/>
      <c r="AK77" s="389"/>
      <c r="AL77" s="389"/>
      <c r="AM77" s="389"/>
      <c r="AN77" s="389"/>
      <c r="AO77" s="389"/>
      <c r="AP77" s="389"/>
    </row>
    <row r="78" spans="2:32" s="386" customFormat="1" ht="6" customHeight="1">
      <c r="B78" s="1399"/>
      <c r="C78" s="1400"/>
      <c r="D78" s="1400"/>
      <c r="E78" s="1400"/>
      <c r="F78" s="1400"/>
      <c r="G78" s="1400"/>
      <c r="H78" s="1401"/>
      <c r="I78" s="1400"/>
      <c r="J78" s="1400"/>
      <c r="K78" s="2319"/>
      <c r="L78" s="2320"/>
      <c r="M78" s="2320"/>
      <c r="N78" s="2321"/>
      <c r="O78" s="2319"/>
      <c r="P78" s="2320"/>
      <c r="Q78" s="2320"/>
      <c r="R78" s="2321"/>
      <c r="S78" s="2405"/>
      <c r="T78" s="2405"/>
      <c r="U78" s="2405"/>
      <c r="V78" s="2405"/>
      <c r="W78" s="2405"/>
      <c r="X78" s="2406"/>
      <c r="Y78" s="2405"/>
      <c r="Z78" s="2405"/>
      <c r="AA78" s="2405"/>
      <c r="AB78" s="2407"/>
      <c r="AC78" s="390"/>
      <c r="AD78" s="390"/>
      <c r="AE78" s="390"/>
      <c r="AF78" s="390"/>
    </row>
    <row r="79" spans="2:32" s="386" customFormat="1">
      <c r="B79" s="2376">
        <f>+'JAPANESE INCOME'!B156</f>
        <v>0</v>
      </c>
      <c r="C79" s="2377"/>
      <c r="D79" s="2377"/>
      <c r="E79" s="2377"/>
      <c r="F79" s="2377"/>
      <c r="G79" s="2378"/>
      <c r="H79" s="2337">
        <f>+'JAPANESE INCOME'!F156</f>
        <v>0</v>
      </c>
      <c r="I79" s="2338"/>
      <c r="J79" s="2339"/>
      <c r="K79" s="2331">
        <f>+'JAPANESE INCOME'!G156</f>
        <v>0</v>
      </c>
      <c r="L79" s="2332"/>
      <c r="M79" s="2332"/>
      <c r="N79" s="2333"/>
      <c r="O79" s="2322">
        <f>+'JAPANESE INCOME'!H156</f>
        <v>0</v>
      </c>
      <c r="P79" s="2323"/>
      <c r="Q79" s="2323"/>
      <c r="R79" s="2324"/>
      <c r="S79" s="2379">
        <f>+'JAPANESE INCOME'!I156</f>
        <v>0</v>
      </c>
      <c r="T79" s="2379"/>
      <c r="U79" s="2379"/>
      <c r="V79" s="2379"/>
      <c r="W79" s="2379"/>
      <c r="X79" s="2324">
        <f>+'JAPANESE INCOME'!J156</f>
        <v>0</v>
      </c>
      <c r="Y79" s="2379"/>
      <c r="Z79" s="2379"/>
      <c r="AA79" s="2379"/>
      <c r="AB79" s="2393"/>
      <c r="AC79" s="386"/>
      <c r="AD79" s="386"/>
      <c r="AE79" s="386"/>
      <c r="AF79" s="386"/>
    </row>
    <row r="80" spans="2:32" s="386" customFormat="1">
      <c r="B80" s="2376">
        <f>+'JAPANESE INCOME'!B157</f>
        <v>0</v>
      </c>
      <c r="C80" s="2377"/>
      <c r="D80" s="2377"/>
      <c r="E80" s="2377"/>
      <c r="F80" s="2377"/>
      <c r="G80" s="2378"/>
      <c r="H80" s="2337">
        <f>+'JAPANESE INCOME'!F157</f>
        <v>0</v>
      </c>
      <c r="I80" s="2338"/>
      <c r="J80" s="2339"/>
      <c r="K80" s="2331">
        <f>+'JAPANESE INCOME'!G157</f>
        <v>0</v>
      </c>
      <c r="L80" s="2332"/>
      <c r="M80" s="2332"/>
      <c r="N80" s="2333"/>
      <c r="O80" s="2322">
        <f>+'JAPANESE INCOME'!H157</f>
        <v>0</v>
      </c>
      <c r="P80" s="2323"/>
      <c r="Q80" s="2323"/>
      <c r="R80" s="2324"/>
      <c r="S80" s="2379">
        <f>+'JAPANESE INCOME'!I157</f>
        <v>0</v>
      </c>
      <c r="T80" s="2379"/>
      <c r="U80" s="2379"/>
      <c r="V80" s="2379"/>
      <c r="W80" s="2379"/>
      <c r="X80" s="2324">
        <f>+'JAPANESE INCOME'!J157</f>
        <v>0</v>
      </c>
      <c r="Y80" s="2379"/>
      <c r="Z80" s="2379"/>
      <c r="AA80" s="2379"/>
      <c r="AB80" s="2393"/>
      <c r="AC80" s="391"/>
      <c r="AD80" s="391"/>
      <c r="AE80" s="391"/>
      <c r="AF80" s="391"/>
    </row>
    <row r="81" spans="2:32" s="386" customFormat="1">
      <c r="B81" s="2376">
        <f>+'JAPANESE INCOME'!B158</f>
        <v>0</v>
      </c>
      <c r="C81" s="2377"/>
      <c r="D81" s="2377"/>
      <c r="E81" s="2377"/>
      <c r="F81" s="2377"/>
      <c r="G81" s="2378"/>
      <c r="H81" s="2337">
        <f>+'JAPANESE INCOME'!F158</f>
        <v>0</v>
      </c>
      <c r="I81" s="2338"/>
      <c r="J81" s="2339"/>
      <c r="K81" s="2331">
        <f>+'JAPANESE INCOME'!G158</f>
        <v>0</v>
      </c>
      <c r="L81" s="2332"/>
      <c r="M81" s="2332"/>
      <c r="N81" s="2333"/>
      <c r="O81" s="2322">
        <f>+'JAPANESE INCOME'!H158</f>
        <v>0</v>
      </c>
      <c r="P81" s="2323"/>
      <c r="Q81" s="2323"/>
      <c r="R81" s="2324"/>
      <c r="S81" s="2379">
        <f>+'JAPANESE INCOME'!I158</f>
        <v>0</v>
      </c>
      <c r="T81" s="2379"/>
      <c r="U81" s="2379"/>
      <c r="V81" s="2379"/>
      <c r="W81" s="2379"/>
      <c r="X81" s="2324">
        <f>+'JAPANESE INCOME'!J158</f>
        <v>0</v>
      </c>
      <c r="Y81" s="2379"/>
      <c r="Z81" s="2379"/>
      <c r="AA81" s="2379"/>
      <c r="AB81" s="2393"/>
      <c r="AC81" s="391"/>
      <c r="AD81" s="391"/>
      <c r="AE81" s="391"/>
      <c r="AF81" s="391"/>
    </row>
    <row r="82" spans="2:32" s="386" customFormat="1">
      <c r="B82" s="2376">
        <f>+'JAPANESE INCOME'!B159</f>
        <v>0</v>
      </c>
      <c r="C82" s="2377"/>
      <c r="D82" s="2377"/>
      <c r="E82" s="2377"/>
      <c r="F82" s="2377"/>
      <c r="G82" s="2378"/>
      <c r="H82" s="2337">
        <f>+'JAPANESE INCOME'!F159</f>
        <v>0</v>
      </c>
      <c r="I82" s="2338"/>
      <c r="J82" s="2339"/>
      <c r="K82" s="2331">
        <f>+'JAPANESE INCOME'!G159</f>
        <v>0</v>
      </c>
      <c r="L82" s="2332"/>
      <c r="M82" s="2332"/>
      <c r="N82" s="2333"/>
      <c r="O82" s="2322">
        <f>+'JAPANESE INCOME'!H159</f>
        <v>0</v>
      </c>
      <c r="P82" s="2323"/>
      <c r="Q82" s="2323"/>
      <c r="R82" s="2324"/>
      <c r="S82" s="2379">
        <f>+'JAPANESE INCOME'!I159</f>
        <v>0</v>
      </c>
      <c r="T82" s="2379"/>
      <c r="U82" s="2379"/>
      <c r="V82" s="2379"/>
      <c r="W82" s="2379"/>
      <c r="X82" s="2324">
        <f>+'JAPANESE INCOME'!J159</f>
        <v>0</v>
      </c>
      <c r="Y82" s="2379"/>
      <c r="Z82" s="2379"/>
      <c r="AA82" s="2379"/>
      <c r="AB82" s="2393"/>
      <c r="AC82" s="391"/>
      <c r="AD82" s="391"/>
      <c r="AE82" s="391"/>
      <c r="AF82" s="391"/>
    </row>
    <row r="83" spans="2:32" s="386" customFormat="1">
      <c r="B83" s="2376">
        <f>+'JAPANESE INCOME'!B160</f>
        <v>0</v>
      </c>
      <c r="C83" s="2377"/>
      <c r="D83" s="2377"/>
      <c r="E83" s="2377"/>
      <c r="F83" s="2377"/>
      <c r="G83" s="2378"/>
      <c r="H83" s="2337">
        <f>+'JAPANESE INCOME'!F160</f>
        <v>0</v>
      </c>
      <c r="I83" s="2338"/>
      <c r="J83" s="2339"/>
      <c r="K83" s="2331">
        <f>+'JAPANESE INCOME'!G160</f>
        <v>0</v>
      </c>
      <c r="L83" s="2332"/>
      <c r="M83" s="2332"/>
      <c r="N83" s="2333"/>
      <c r="O83" s="2322">
        <f>+'JAPANESE INCOME'!H160</f>
        <v>0</v>
      </c>
      <c r="P83" s="2323"/>
      <c r="Q83" s="2323"/>
      <c r="R83" s="2324"/>
      <c r="S83" s="2379">
        <f>+'JAPANESE INCOME'!I160</f>
        <v>0</v>
      </c>
      <c r="T83" s="2379"/>
      <c r="U83" s="2379"/>
      <c r="V83" s="2379"/>
      <c r="W83" s="2379"/>
      <c r="X83" s="2324">
        <f>+'JAPANESE INCOME'!J160</f>
        <v>0</v>
      </c>
      <c r="Y83" s="2379"/>
      <c r="Z83" s="2379"/>
      <c r="AA83" s="2379"/>
      <c r="AB83" s="2393"/>
      <c r="AC83" s="391"/>
      <c r="AD83" s="391"/>
      <c r="AE83" s="391"/>
      <c r="AF83" s="391"/>
    </row>
    <row r="84" spans="2:32" s="386" customFormat="1" ht="7.5" customHeight="1" thickBot="1">
      <c r="B84" s="2394"/>
      <c r="C84" s="2395"/>
      <c r="D84" s="2395"/>
      <c r="E84" s="2395"/>
      <c r="F84" s="2395"/>
      <c r="G84" s="2396"/>
      <c r="H84" s="1419"/>
      <c r="I84" s="1420"/>
      <c r="J84" s="1420"/>
      <c r="K84" s="2313"/>
      <c r="L84" s="2314"/>
      <c r="M84" s="2314"/>
      <c r="N84" s="2315"/>
      <c r="O84" s="2325"/>
      <c r="P84" s="2326"/>
      <c r="Q84" s="2326"/>
      <c r="R84" s="2327"/>
      <c r="S84" s="2397"/>
      <c r="T84" s="2397"/>
      <c r="U84" s="2397"/>
      <c r="V84" s="2397"/>
      <c r="W84" s="2397"/>
      <c r="X84" s="2398"/>
      <c r="Y84" s="2397"/>
      <c r="Z84" s="2397"/>
      <c r="AA84" s="2397"/>
      <c r="AB84" s="2399"/>
      <c r="AC84" s="391"/>
      <c r="AD84" s="391"/>
      <c r="AE84" s="391"/>
      <c r="AF84" s="391"/>
    </row>
    <row r="85" spans="2:42" s="386" customFormat="1" ht="13" thickBot="1">
      <c r="B85" s="401" t="s">
        <v>1016</v>
      </c>
      <c r="C85" s="402"/>
      <c r="D85" s="402"/>
      <c r="E85" s="402"/>
      <c r="F85" s="402"/>
      <c r="G85" s="402"/>
      <c r="H85" s="403"/>
      <c r="I85" s="402"/>
      <c r="J85" s="402"/>
      <c r="K85" s="2316">
        <f>+SUM(K79:N84)</f>
        <v>0</v>
      </c>
      <c r="L85" s="2317"/>
      <c r="M85" s="2317"/>
      <c r="N85" s="2318"/>
      <c r="O85" s="2328">
        <f>+SUM(O78:R84)</f>
        <v>0</v>
      </c>
      <c r="P85" s="2329"/>
      <c r="Q85" s="2329"/>
      <c r="R85" s="2330"/>
      <c r="S85" s="2373">
        <f>+SUM(S79:W84)</f>
        <v>0</v>
      </c>
      <c r="T85" s="2374"/>
      <c r="U85" s="2374"/>
      <c r="V85" s="2374"/>
      <c r="W85" s="2375"/>
      <c r="X85" s="2374">
        <f>+SUM(X79:AB84)</f>
        <v>0</v>
      </c>
      <c r="Y85" s="2374"/>
      <c r="Z85" s="2374"/>
      <c r="AA85" s="2374"/>
      <c r="AB85" s="2388"/>
      <c r="AC85" s="395"/>
      <c r="AD85" s="395"/>
      <c r="AE85" s="395"/>
      <c r="AF85" s="395"/>
      <c r="AK85" s="392"/>
      <c r="AL85" s="392"/>
      <c r="AM85" s="392"/>
      <c r="AN85" s="392"/>
      <c r="AO85" s="392"/>
      <c r="AP85" s="392"/>
    </row>
    <row r="90" spans="3:27" ht="19">
      <c r="C90" s="658" t="s">
        <v>794</v>
      </c>
      <c r="D90" s="640"/>
      <c r="E90" s="640"/>
      <c r="X90" s="678"/>
      <c r="Y90" s="678"/>
      <c r="Z90" s="678"/>
      <c r="AA90" s="678"/>
    </row>
    <row r="91" spans="3:9" ht="22.5">
      <c r="C91" s="658" t="s">
        <v>795</v>
      </c>
      <c r="D91" s="640"/>
      <c r="E91" s="2438" t="e">
        <f>taxyear+1</f>
        <v>#VALUE!</v>
      </c>
      <c r="F91" s="2438"/>
      <c r="G91" s="2438"/>
      <c r="H91" s="2438"/>
      <c r="I91" s="657"/>
    </row>
    <row r="93" spans="3:3" ht="13">
      <c r="C93" s="667" t="s">
        <v>796</v>
      </c>
    </row>
    <row r="95" spans="4:30">
      <c r="D95" s="640" t="s">
        <v>797</v>
      </c>
      <c r="T95" s="2415" t="e">
        <f>IF('GENERAL INFO'!$W$55="X",0,IF((OR(ISBLANK(dateofdeparture)=True,(dateofdeparture-taxyearend)&gt;0)),IF('GENERAL INFO'!$G$114="X",'CalculationSheet'!N15,'CalculationSheet'!N105),0))</f>
        <v>#VALUE!</v>
      </c>
      <c r="U95" s="2415"/>
      <c r="V95" s="2415"/>
      <c r="W95" s="2415"/>
      <c r="X95" s="2427"/>
      <c r="Y95" s="2427"/>
      <c r="Z95" s="2427"/>
      <c r="AA95" s="2427"/>
      <c r="AB95" s="668"/>
      <c r="AD95" s="640" t="str">
        <f>IF(totaloverseasincome=irregularoverseasincome,"yes","no")</f>
        <v>yes</v>
      </c>
    </row>
    <row r="96" spans="4:28">
      <c r="D96" s="640" t="s">
        <v>798</v>
      </c>
      <c r="T96" s="2427" t="e">
        <f>IF('GENERAL INFO'!$W$55="X",0,IF((OR(ISBLANK(dateofdeparture)=True,(dateofdeparture-taxyearend)&gt;0)),IF('GENERAL INFO'!$G$114="X",'CalculationSheet'!N16,'CalculationSheet'!N106),0))</f>
        <v>#VALUE!</v>
      </c>
      <c r="U96" s="2427"/>
      <c r="V96" s="2427"/>
      <c r="W96" s="2427"/>
      <c r="X96" s="2427"/>
      <c r="Y96" s="2427"/>
      <c r="Z96" s="2427"/>
      <c r="AA96" s="2427"/>
      <c r="AB96" s="668"/>
    </row>
    <row r="97" spans="4:28">
      <c r="D97" s="640" t="s">
        <v>799</v>
      </c>
      <c r="T97" s="2428" t="e">
        <f>IF('GENERAL INFO'!$W$55="X",0,IF((OR(ISBLANK(dateofdeparture)=True,(dateofdeparture-taxyearend)&gt;0)),IF('GENERAL INFO'!$G$114="X",'CalculationSheet'!N17,'CalculationSheet'!N107),0))</f>
        <v>#VALUE!</v>
      </c>
      <c r="U97" s="2428"/>
      <c r="V97" s="2428"/>
      <c r="W97" s="2428"/>
      <c r="X97" s="2427"/>
      <c r="Y97" s="2427"/>
      <c r="Z97" s="2427"/>
      <c r="AA97" s="2427"/>
      <c r="AB97" s="668"/>
    </row>
    <row r="98" spans="4:28">
      <c r="D98" s="640" t="s">
        <v>783</v>
      </c>
      <c r="T98" s="2427"/>
      <c r="U98" s="2427"/>
      <c r="V98" s="2427"/>
      <c r="W98" s="2427"/>
      <c r="X98" s="2415" t="e">
        <f>SUM(T95:W97)</f>
        <v>#VALUE!</v>
      </c>
      <c r="Y98" s="2415"/>
      <c r="Z98" s="2415"/>
      <c r="AA98" s="2415"/>
      <c r="AB98" s="668"/>
    </row>
    <row r="99" spans="3:27">
      <c r="C99" s="640"/>
      <c r="T99" s="748"/>
      <c r="U99" s="748"/>
      <c r="V99" s="748"/>
      <c r="W99" s="748"/>
      <c r="X99" s="748"/>
      <c r="Y99" s="748"/>
      <c r="Z99" s="748"/>
      <c r="AA99" s="748"/>
    </row>
    <row r="100" spans="3:27" ht="13">
      <c r="C100" s="667" t="s">
        <v>1028</v>
      </c>
      <c r="T100" s="748"/>
      <c r="U100" s="748"/>
      <c r="V100" s="748"/>
      <c r="W100" s="748"/>
      <c r="X100" s="2428" t="e">
        <f>IF('GENERAL INFO'!$W$55="X",0,IF('GENERAL INFO'!G114="X",(-'CalculationSheet'!J58-'CalculationSheet'!J62)/12*'GENERAL INFO'!V109,(-'CalculationSheet'!J147-'CalculationSheet'!J151/12*'GENERAL INFO'!V109)))</f>
        <v>#VALUE!</v>
      </c>
      <c r="Y100" s="2428"/>
      <c r="Z100" s="2428"/>
      <c r="AA100" s="2428"/>
    </row>
    <row r="101" spans="3:27">
      <c r="C101" s="640"/>
      <c r="T101" s="748"/>
      <c r="U101" s="748"/>
      <c r="V101" s="748"/>
      <c r="W101" s="748"/>
      <c r="X101" s="748"/>
      <c r="Y101" s="748"/>
      <c r="Z101" s="748"/>
      <c r="AA101" s="748"/>
    </row>
    <row r="102" spans="1:39" s="655" customFormat="1" ht="13">
      <c r="A102" s="640"/>
      <c r="B102" s="640"/>
      <c r="C102" s="666" t="s">
        <v>800</v>
      </c>
      <c r="D102" s="662"/>
      <c r="E102" s="640"/>
      <c r="F102" s="640"/>
      <c r="G102" s="640"/>
      <c r="H102" s="640"/>
      <c r="I102" s="640"/>
      <c r="J102" s="640"/>
      <c r="K102" s="640"/>
      <c r="L102" s="640"/>
      <c r="M102" s="640"/>
      <c r="N102" s="640"/>
      <c r="O102" s="640" t="s">
        <v>197</v>
      </c>
      <c r="P102" s="640"/>
      <c r="Q102" s="640"/>
      <c r="R102" s="640"/>
      <c r="S102" s="640"/>
      <c r="T102" s="748"/>
      <c r="U102" s="748"/>
      <c r="V102" s="748"/>
      <c r="W102" s="748"/>
      <c r="X102" s="2415" t="e">
        <f>X98-X100</f>
        <v>#VALUE!</v>
      </c>
      <c r="Y102" s="2415"/>
      <c r="Z102" s="2415"/>
      <c r="AA102" s="2415"/>
      <c r="AB102" s="640"/>
      <c r="AC102" s="640"/>
      <c r="AD102" s="640"/>
      <c r="AE102" s="640"/>
      <c r="AF102" s="640"/>
      <c r="AG102" s="640"/>
      <c r="AH102" s="640"/>
      <c r="AI102" s="640"/>
      <c r="AJ102" s="640"/>
      <c r="AK102" s="640"/>
      <c r="AL102" s="640"/>
      <c r="AM102" s="640"/>
    </row>
    <row r="103" spans="3:27">
      <c r="C103" s="640"/>
      <c r="T103" s="748"/>
      <c r="U103" s="748"/>
      <c r="V103" s="748"/>
      <c r="W103" s="748"/>
      <c r="X103" s="748"/>
      <c r="Y103" s="748"/>
      <c r="Z103" s="748"/>
      <c r="AA103" s="748"/>
    </row>
    <row r="104" spans="1:39" s="655" customFormat="1" ht="13">
      <c r="A104" s="640"/>
      <c r="B104" s="640"/>
      <c r="C104" s="667" t="s">
        <v>801</v>
      </c>
      <c r="D104" s="662"/>
      <c r="E104" s="640"/>
      <c r="F104" s="640"/>
      <c r="G104" s="640"/>
      <c r="H104" s="640"/>
      <c r="I104" s="640"/>
      <c r="J104" s="640"/>
      <c r="K104" s="640"/>
      <c r="L104" s="640"/>
      <c r="M104" s="640"/>
      <c r="N104" s="640"/>
      <c r="O104" s="640" t="s">
        <v>197</v>
      </c>
      <c r="P104" s="640"/>
      <c r="Q104" s="640"/>
      <c r="R104" s="640"/>
      <c r="S104" s="640"/>
      <c r="T104" s="748"/>
      <c r="U104" s="748"/>
      <c r="V104" s="748"/>
      <c r="W104" s="748"/>
      <c r="X104" s="2415" t="e">
        <f>IF('GENERAL INFO'!$W$55="X",0,IF('GENERAL INFO'!$G$114="X",'CalculationSheet'!R65,'CalculationSheet'!R154))</f>
        <v>#VALUE!</v>
      </c>
      <c r="Y104" s="2415"/>
      <c r="Z104" s="2415"/>
      <c r="AA104" s="2415"/>
      <c r="AB104" s="640"/>
      <c r="AC104" s="640"/>
      <c r="AD104" s="640"/>
      <c r="AE104" s="640"/>
      <c r="AF104" s="640"/>
      <c r="AG104" s="640"/>
      <c r="AH104" s="640"/>
      <c r="AI104" s="640"/>
      <c r="AJ104" s="640"/>
      <c r="AK104" s="640"/>
      <c r="AL104" s="640"/>
      <c r="AM104" s="640"/>
    </row>
    <row r="105" spans="1:39" s="655" customFormat="1" ht="13">
      <c r="A105" s="640"/>
      <c r="B105" s="640"/>
      <c r="C105" s="667"/>
      <c r="D105" s="662"/>
      <c r="E105" s="640"/>
      <c r="F105" s="640"/>
      <c r="G105" s="640"/>
      <c r="H105" s="640"/>
      <c r="I105" s="640"/>
      <c r="J105" s="640"/>
      <c r="K105" s="640"/>
      <c r="L105" s="640"/>
      <c r="M105" s="640"/>
      <c r="N105" s="640"/>
      <c r="O105" s="640"/>
      <c r="P105" s="640"/>
      <c r="Q105" s="640"/>
      <c r="R105" s="640"/>
      <c r="S105" s="640"/>
      <c r="T105" s="748"/>
      <c r="U105" s="748"/>
      <c r="V105" s="748"/>
      <c r="W105" s="748"/>
      <c r="X105" s="748"/>
      <c r="Y105" s="748"/>
      <c r="Z105" s="748"/>
      <c r="AA105" s="748"/>
      <c r="AB105" s="640"/>
      <c r="AC105" s="640"/>
      <c r="AD105" s="640"/>
      <c r="AE105" s="640"/>
      <c r="AF105" s="640"/>
      <c r="AG105" s="640"/>
      <c r="AH105" s="640"/>
      <c r="AI105" s="640"/>
      <c r="AJ105" s="640"/>
      <c r="AK105" s="640"/>
      <c r="AL105" s="640"/>
      <c r="AM105" s="640"/>
    </row>
    <row r="106" spans="3:34" ht="13">
      <c r="C106" s="666" t="s">
        <v>785</v>
      </c>
      <c r="D106" s="662"/>
      <c r="T106" s="748"/>
      <c r="U106" s="748"/>
      <c r="V106" s="748"/>
      <c r="W106" s="748"/>
      <c r="X106" s="2427">
        <f>IF('GENERAL INFO'!$W$55="X",0,IF('GENERAL INFO'!$G$114="X",'CalculationSheet'!R67,'CalculationSheet'!R156))</f>
        <v>0</v>
      </c>
      <c r="Y106" s="2427"/>
      <c r="Z106" s="2427"/>
      <c r="AA106" s="2427"/>
      <c r="AE106" s="2425" t="e">
        <f>IF('GENERAL INFO'!$W55="X",0,IF('GENERAL INFO'!$G114="X",'CalculationSheet'!$R89,'CalculationSheet'!$R178))</f>
        <v>#VALUE!</v>
      </c>
      <c r="AF106" s="2425"/>
      <c r="AG106" s="2425"/>
      <c r="AH106" s="2425"/>
    </row>
    <row r="107" spans="3:27">
      <c r="C107" s="640"/>
      <c r="T107" s="748"/>
      <c r="U107" s="748"/>
      <c r="V107" s="748"/>
      <c r="W107" s="748"/>
      <c r="X107" s="749"/>
      <c r="Y107" s="749"/>
      <c r="Z107" s="749"/>
      <c r="AA107" s="749"/>
    </row>
    <row r="108" spans="3:27" ht="13">
      <c r="C108" s="666" t="s">
        <v>802</v>
      </c>
      <c r="D108" s="662"/>
      <c r="T108" s="748"/>
      <c r="U108" s="748"/>
      <c r="V108" s="748"/>
      <c r="W108" s="748"/>
      <c r="X108" s="2426" t="e">
        <f>IF('GENERAL INFO'!$W$55="X",0,IF('CalculationSheet'!R69&lt;0,0,IF('GENERAL INFO'!$G$114="X",'CalculationSheet'!R69,'CalculationSheet'!R158)))</f>
        <v>#VALUE!</v>
      </c>
      <c r="Y108" s="2426"/>
      <c r="Z108" s="2426"/>
      <c r="AA108" s="2426"/>
    </row>
    <row r="109" spans="3:27" ht="13">
      <c r="C109" s="667"/>
      <c r="D109" s="662"/>
      <c r="T109" s="748"/>
      <c r="U109" s="748"/>
      <c r="V109" s="748"/>
      <c r="W109" s="748"/>
      <c r="X109" s="748"/>
      <c r="Y109" s="748"/>
      <c r="Z109" s="748"/>
      <c r="AA109" s="748"/>
    </row>
    <row r="110" spans="3:27">
      <c r="C110" s="666" t="s">
        <v>803</v>
      </c>
      <c r="T110" s="748"/>
      <c r="U110" s="748"/>
      <c r="V110" s="748"/>
      <c r="W110" s="748"/>
      <c r="X110" s="2427" t="e">
        <f>IF('GENERAL INFO'!$W$55="X",0,IF('GENERAL INFO'!$G$114="X",'CalculationSheet'!R83,'CalculationSheet'!R172))</f>
        <v>#VALUE!</v>
      </c>
      <c r="Y110" s="2427"/>
      <c r="Z110" s="2427"/>
      <c r="AA110" s="2427"/>
    </row>
    <row r="111" spans="3:27">
      <c r="C111" s="640"/>
      <c r="T111" s="748"/>
      <c r="U111" s="748"/>
      <c r="V111" s="748"/>
      <c r="W111" s="748"/>
      <c r="X111" s="748"/>
      <c r="Y111" s="748"/>
      <c r="Z111" s="748"/>
      <c r="AA111" s="748"/>
    </row>
    <row r="112" spans="3:27" ht="13">
      <c r="C112" s="667" t="s">
        <v>1029</v>
      </c>
      <c r="T112" s="748"/>
      <c r="U112" s="748"/>
      <c r="V112" s="748"/>
      <c r="W112" s="748"/>
      <c r="X112" s="748"/>
      <c r="Y112" s="748"/>
      <c r="Z112" s="748"/>
      <c r="AA112" s="748"/>
    </row>
    <row r="113" spans="4:27" ht="13">
      <c r="D113" s="667" t="s">
        <v>804</v>
      </c>
      <c r="T113" s="748"/>
      <c r="U113" s="748"/>
      <c r="V113" s="748"/>
      <c r="W113" s="748"/>
      <c r="X113" s="2427" t="e">
        <f>AE106</f>
        <v>#VALUE!</v>
      </c>
      <c r="Y113" s="2427"/>
      <c r="Z113" s="2427"/>
      <c r="AA113" s="2427"/>
    </row>
    <row r="114" spans="3:39">
      <c r="C114" s="640"/>
      <c r="T114" s="748"/>
      <c r="U114" s="748"/>
      <c r="V114" s="748"/>
      <c r="W114" s="748"/>
      <c r="X114" s="749"/>
      <c r="Y114" s="749"/>
      <c r="Z114" s="749"/>
      <c r="AA114" s="749"/>
      <c r="AD114" s="656"/>
      <c r="AE114" s="656"/>
      <c r="AF114" s="656"/>
      <c r="AG114" s="656"/>
      <c r="AH114" s="656"/>
      <c r="AI114" s="656"/>
      <c r="AJ114" s="656"/>
      <c r="AK114" s="656"/>
      <c r="AL114" s="656"/>
      <c r="AM114" s="656"/>
    </row>
    <row r="115" spans="3:39">
      <c r="C115" s="666" t="s">
        <v>805</v>
      </c>
      <c r="T115" s="748"/>
      <c r="U115" s="748"/>
      <c r="V115" s="748"/>
      <c r="W115" s="748"/>
      <c r="X115" s="2433" t="e">
        <f>IF(X110-X113&gt;0,X110-X113,0)</f>
        <v>#VALUE!</v>
      </c>
      <c r="Y115" s="2433"/>
      <c r="Z115" s="2433"/>
      <c r="AA115" s="2433"/>
      <c r="AD115" s="656"/>
      <c r="AE115" s="656"/>
      <c r="AF115" s="656"/>
      <c r="AG115" s="656"/>
      <c r="AH115" s="656"/>
      <c r="AI115" s="656"/>
      <c r="AJ115" s="656"/>
      <c r="AK115" s="656"/>
      <c r="AL115" s="656"/>
      <c r="AM115" s="656"/>
    </row>
    <row r="116" spans="3:39">
      <c r="C116" s="640"/>
      <c r="T116" s="748"/>
      <c r="U116" s="748"/>
      <c r="V116" s="748"/>
      <c r="W116" s="748"/>
      <c r="X116" s="748"/>
      <c r="Y116" s="748"/>
      <c r="Z116" s="748"/>
      <c r="AA116" s="748"/>
      <c r="AD116" s="656"/>
      <c r="AE116" s="656"/>
      <c r="AF116" s="656"/>
      <c r="AG116" s="656"/>
      <c r="AH116" s="656"/>
      <c r="AI116" s="656"/>
      <c r="AJ116" s="656"/>
      <c r="AK116" s="656"/>
      <c r="AL116" s="656"/>
      <c r="AM116" s="656"/>
    </row>
    <row r="117" spans="3:39">
      <c r="C117" s="666" t="s">
        <v>806</v>
      </c>
      <c r="T117" s="748"/>
      <c r="U117" s="748"/>
      <c r="V117" s="748"/>
      <c r="W117" s="748"/>
      <c r="X117" s="2434">
        <f>IF('GENERAL INFO'!$G$114="X",'CalculationSheet'!R94,'CalculationSheet'!R182)</f>
        <v>0</v>
      </c>
      <c r="Y117" s="2434"/>
      <c r="Z117" s="2434"/>
      <c r="AA117" s="2434"/>
      <c r="AD117" s="656"/>
      <c r="AE117" s="656"/>
      <c r="AF117" s="656"/>
      <c r="AG117" s="656"/>
      <c r="AH117" s="656"/>
      <c r="AI117" s="656"/>
      <c r="AJ117" s="656"/>
      <c r="AK117" s="656"/>
      <c r="AL117" s="656"/>
      <c r="AM117" s="656"/>
    </row>
    <row r="118" spans="3:27">
      <c r="C118" s="640"/>
      <c r="T118" s="748"/>
      <c r="U118" s="748"/>
      <c r="V118" s="748"/>
      <c r="W118" s="748"/>
      <c r="X118" s="749"/>
      <c r="Y118" s="749"/>
      <c r="Z118" s="749"/>
      <c r="AA118" s="749"/>
    </row>
    <row r="119" spans="3:27" ht="13" thickBot="1">
      <c r="C119" s="640"/>
      <c r="T119" s="748"/>
      <c r="U119" s="748"/>
      <c r="V119" s="748"/>
      <c r="W119" s="748"/>
      <c r="X119" s="748"/>
      <c r="Y119" s="748"/>
      <c r="Z119" s="748"/>
      <c r="AA119" s="748"/>
    </row>
    <row r="120" spans="1:31" ht="13.5" thickBot="1">
      <c r="A120" s="656"/>
      <c r="B120" s="656"/>
      <c r="C120" s="665" t="str">
        <f>IF(OR(AND(T104&gt;0,T104=X107),'GENERAL INFO'!W55="X"),"第２５条所得税月次分割払金額 **)", "第２５条所得税月次分割払金額")</f>
        <v>第２５条所得税月次分割払金額</v>
      </c>
      <c r="D120" s="656"/>
      <c r="E120" s="656"/>
      <c r="F120" s="656"/>
      <c r="G120" s="656"/>
      <c r="H120" s="656"/>
      <c r="I120" s="656"/>
      <c r="J120" s="656"/>
      <c r="K120" s="656"/>
      <c r="L120" s="656"/>
      <c r="M120" s="656"/>
      <c r="N120" s="656"/>
      <c r="O120" s="656"/>
      <c r="P120" s="656"/>
      <c r="Q120" s="656"/>
      <c r="R120" s="656"/>
      <c r="S120" s="656"/>
      <c r="T120" s="750"/>
      <c r="U120" s="750"/>
      <c r="V120" s="750"/>
      <c r="W120" s="750"/>
      <c r="X120" s="2435" t="e">
        <f>X115/X117</f>
        <v>#VALUE!</v>
      </c>
      <c r="Y120" s="2436"/>
      <c r="Z120" s="2436"/>
      <c r="AA120" s="2437"/>
      <c r="AB120" s="656"/>
      <c r="AC120" s="656"/>
      <c r="AD120" s="664"/>
      <c r="AE120" s="664"/>
    </row>
    <row r="121" spans="1:31" ht="13">
      <c r="A121" s="656"/>
      <c r="B121" s="663"/>
      <c r="C121" s="656"/>
      <c r="D121" s="656"/>
      <c r="E121" s="656"/>
      <c r="F121" s="656"/>
      <c r="G121" s="656"/>
      <c r="H121" s="656"/>
      <c r="I121" s="656"/>
      <c r="J121" s="656"/>
      <c r="K121" s="656"/>
      <c r="L121" s="656"/>
      <c r="M121" s="656"/>
      <c r="N121" s="656"/>
      <c r="O121" s="656"/>
      <c r="P121" s="656"/>
      <c r="Q121" s="656"/>
      <c r="R121" s="656"/>
      <c r="S121" s="656"/>
      <c r="T121" s="656"/>
      <c r="U121" s="656"/>
      <c r="V121" s="656"/>
      <c r="W121" s="656"/>
      <c r="X121" s="656"/>
      <c r="Y121" s="656"/>
      <c r="Z121" s="656"/>
      <c r="AA121" s="656"/>
      <c r="AB121" s="656"/>
      <c r="AC121" s="656"/>
      <c r="AD121" s="664"/>
      <c r="AE121" s="664"/>
    </row>
    <row r="122" spans="1:39" ht="13">
      <c r="A122" s="663"/>
      <c r="B122" s="663"/>
      <c r="C122" s="664"/>
      <c r="D122" s="664"/>
      <c r="E122" s="664"/>
      <c r="F122" s="664"/>
      <c r="G122" s="664"/>
      <c r="H122" s="664"/>
      <c r="I122" s="664"/>
      <c r="J122" s="664"/>
      <c r="K122" s="664"/>
      <c r="L122" s="664"/>
      <c r="M122" s="664"/>
      <c r="N122" s="664"/>
      <c r="O122" s="664"/>
      <c r="P122" s="664"/>
      <c r="Q122" s="664"/>
      <c r="R122" s="664"/>
      <c r="S122" s="664"/>
      <c r="T122" s="664"/>
      <c r="U122" s="664"/>
      <c r="V122" s="664"/>
      <c r="W122" s="664"/>
      <c r="X122" s="664"/>
      <c r="Y122" s="664"/>
      <c r="Z122" s="664"/>
      <c r="AA122" s="664"/>
      <c r="AB122" s="656"/>
      <c r="AC122" s="656"/>
      <c r="AD122" s="640"/>
      <c r="AE122" s="640"/>
      <c r="AF122" s="640"/>
      <c r="AG122" s="640"/>
      <c r="AH122" s="640"/>
      <c r="AI122" s="640"/>
      <c r="AJ122" s="640"/>
      <c r="AK122" s="640"/>
      <c r="AL122" s="640"/>
      <c r="AM122" s="640"/>
    </row>
    <row r="123" spans="3:39" ht="15" customHeight="1">
      <c r="C123" s="662" t="s">
        <v>807</v>
      </c>
      <c r="D123" s="662"/>
      <c r="E123" s="662"/>
      <c r="AD123" s="640" t="str">
        <f>IF('GENERAL INFO'!W55="X","**)  PPh 25 monthly instalments for the year "&amp;(taxyear+1)&amp;" "&amp;" is Nil.  The "&amp;(taxyear)&amp;" "&amp;" tax return has been submitted with the "&amp;(taxyear+1)&amp;" "&amp;" tax return (KEP-28/PJ.41/1993).","")</f>
        <v/>
      </c>
      <c r="AE123" s="640"/>
      <c r="AF123" s="640"/>
      <c r="AG123" s="640"/>
      <c r="AH123" s="640"/>
      <c r="AI123" s="640"/>
      <c r="AJ123" s="640"/>
      <c r="AK123" s="640"/>
      <c r="AL123" s="640"/>
      <c r="AM123" s="640"/>
    </row>
    <row r="124" spans="3:39" ht="15" customHeight="1">
      <c r="C124" s="662" t="str">
        <f>IF(ISBLANK(dateofdeparture)=True,"*)上記の項目以外、最終課税税と非課税所得に当たる。その上のアイテム","*)   As reflected in my EPO attached, I left Indonesia on "&amp;TEXT(dateofdeparture,"dd/mm/yy")&amp;" "&amp;" so that my PPh 25 should be NIL")</f>
        <v>*)上記の項目以外、最終課税税と非課税所得に当たる。その上のアイテム</v>
      </c>
      <c r="D124" s="662"/>
      <c r="E124" s="662"/>
      <c r="AD124" s="640" t="s">
        <v>1263</v>
      </c>
      <c r="AE124" s="640"/>
      <c r="AF124" s="640"/>
      <c r="AG124" s="640"/>
      <c r="AH124" s="640"/>
      <c r="AI124" s="640"/>
      <c r="AJ124" s="640"/>
      <c r="AK124" s="640"/>
      <c r="AL124" s="640"/>
      <c r="AM124" s="640"/>
    </row>
    <row r="125" spans="3:39" ht="28.5" customHeight="1">
      <c r="C125" s="2494" t="str">
        <f>IF('GENERAL INFO'!W55="X",AD123,AD124)</f>
        <v>**)上述のPPh25税額はKEP537/PJ/2000に従って計算されています </v>
      </c>
      <c r="D125" s="2494"/>
      <c r="E125" s="2494"/>
      <c r="F125" s="2494"/>
      <c r="G125" s="2494"/>
      <c r="H125" s="2494"/>
      <c r="I125" s="2494"/>
      <c r="J125" s="2494"/>
      <c r="K125" s="2494"/>
      <c r="L125" s="2494"/>
      <c r="M125" s="2494"/>
      <c r="N125" s="2494"/>
      <c r="O125" s="2494"/>
      <c r="P125" s="2494"/>
      <c r="Q125" s="2494"/>
      <c r="R125" s="2494"/>
      <c r="S125" s="2494"/>
      <c r="T125" s="2494"/>
      <c r="U125" s="2494"/>
      <c r="V125" s="2494"/>
      <c r="W125" s="2494"/>
      <c r="X125" s="2494"/>
      <c r="Y125" s="2494"/>
      <c r="Z125" s="2494"/>
      <c r="AA125" s="2494"/>
      <c r="AE125" s="640"/>
      <c r="AF125" s="640"/>
      <c r="AG125" s="640"/>
      <c r="AH125" s="640"/>
      <c r="AI125" s="640"/>
      <c r="AJ125" s="640"/>
      <c r="AK125" s="640"/>
      <c r="AL125" s="640"/>
      <c r="AM125" s="640"/>
    </row>
    <row r="126" spans="30:39" ht="15" customHeight="1">
      <c r="AD126" s="640"/>
      <c r="AE126" s="640"/>
      <c r="AF126" s="640"/>
      <c r="AG126" s="640"/>
      <c r="AH126" s="640"/>
      <c r="AI126" s="640"/>
      <c r="AJ126" s="640"/>
      <c r="AK126" s="640"/>
      <c r="AL126" s="640"/>
      <c r="AM126" s="640"/>
    </row>
    <row r="127" spans="1:33" s="640" customFormat="1">
      <c r="A127" s="640"/>
      <c r="B127" s="640"/>
      <c r="C127" s="2439"/>
      <c r="D127" s="2439"/>
      <c r="E127" s="2439"/>
      <c r="F127" s="2439"/>
      <c r="G127" s="2439"/>
      <c r="H127" s="2439"/>
      <c r="I127" s="2439"/>
      <c r="J127" s="2439"/>
      <c r="K127" s="2439"/>
      <c r="L127" s="2439"/>
      <c r="M127" s="2439"/>
      <c r="N127" s="2439"/>
      <c r="O127" s="2440"/>
      <c r="P127" s="2440"/>
      <c r="Q127" s="2440"/>
      <c r="R127" s="2440"/>
      <c r="S127" s="2440"/>
      <c r="T127" s="2440"/>
      <c r="U127" s="2440"/>
      <c r="V127" s="2440"/>
      <c r="W127" s="2440"/>
      <c r="X127" s="2440"/>
      <c r="Y127" s="2440"/>
      <c r="Z127" s="2440"/>
      <c r="AA127" s="640"/>
      <c r="AB127" s="640"/>
      <c r="AC127" s="640"/>
      <c r="AD127" s="640"/>
      <c r="AE127" s="640"/>
      <c r="AF127" s="640"/>
      <c r="AG127" s="640"/>
    </row>
    <row r="128" spans="1:29" ht="13">
      <c r="A128" s="640"/>
      <c r="B128" s="640"/>
      <c r="C128" s="640"/>
      <c r="D128" s="640"/>
      <c r="E128" s="640"/>
      <c r="F128" s="640"/>
      <c r="G128" s="640"/>
      <c r="H128" s="640"/>
      <c r="I128" s="640"/>
      <c r="J128" s="640"/>
      <c r="K128" s="661"/>
      <c r="L128" s="661"/>
      <c r="M128" s="661"/>
      <c r="N128" s="661"/>
      <c r="O128" s="661"/>
      <c r="P128" s="661"/>
      <c r="Q128" s="661"/>
      <c r="R128" s="661"/>
      <c r="S128" s="661"/>
      <c r="T128" s="660"/>
      <c r="U128" s="660" t="s">
        <v>197</v>
      </c>
      <c r="V128" s="660"/>
      <c r="W128" s="660"/>
      <c r="X128" s="660"/>
      <c r="Y128" s="660"/>
      <c r="Z128" s="660"/>
      <c r="AA128" s="660"/>
      <c r="AB128" s="659"/>
      <c r="AC128" s="659"/>
    </row>
    <row r="129" spans="7:27" ht="20">
      <c r="G129" s="657" t="s">
        <v>808</v>
      </c>
      <c r="H129" s="640"/>
      <c r="I129" s="640"/>
      <c r="X129" s="678"/>
      <c r="Y129" s="678"/>
      <c r="Z129" s="678"/>
      <c r="AA129" s="678"/>
    </row>
    <row r="130" spans="7:15" ht="21" customHeight="1">
      <c r="G130" s="741" t="s">
        <v>1031</v>
      </c>
      <c r="H130" s="741"/>
      <c r="I130" s="741"/>
      <c r="J130" s="741"/>
      <c r="K130" s="741"/>
      <c r="L130" s="741"/>
      <c r="M130" s="657" t="str">
        <f>taxyear</f>
        <v/>
      </c>
      <c r="N130" s="658"/>
      <c r="O130" s="741" t="s">
        <v>1032</v>
      </c>
    </row>
    <row r="132" ht="13" thickBot="1"/>
    <row r="133" spans="1:29" ht="16" thickBot="1">
      <c r="A133" s="656"/>
      <c r="B133" s="656"/>
      <c r="C133" s="656"/>
      <c r="D133" s="656"/>
      <c r="E133" s="656"/>
      <c r="F133" s="656"/>
      <c r="G133" s="2463" t="s">
        <v>627</v>
      </c>
      <c r="H133" s="2464"/>
      <c r="I133" s="2464"/>
      <c r="J133" s="2464"/>
      <c r="K133" s="2464"/>
      <c r="L133" s="2464"/>
      <c r="M133" s="2464" t="s">
        <v>809</v>
      </c>
      <c r="N133" s="2464"/>
      <c r="O133" s="2464"/>
      <c r="P133" s="2465"/>
      <c r="Q133" s="656"/>
      <c r="R133" s="656"/>
      <c r="S133" s="656"/>
      <c r="T133" s="656"/>
      <c r="U133" s="656"/>
      <c r="V133" s="656"/>
      <c r="W133" s="656"/>
      <c r="X133" s="656"/>
      <c r="Y133" s="656"/>
      <c r="Z133" s="656"/>
      <c r="AA133" s="656"/>
      <c r="AB133" s="656"/>
      <c r="AC133" s="656"/>
    </row>
    <row r="134" spans="7:16" ht="13" thickTop="1">
      <c r="G134" s="2466"/>
      <c r="H134" s="2467"/>
      <c r="I134" s="2467"/>
      <c r="J134" s="2467"/>
      <c r="K134" s="2467"/>
      <c r="L134" s="2468"/>
      <c r="M134" s="2469"/>
      <c r="N134" s="2467"/>
      <c r="O134" s="2467"/>
      <c r="P134" s="2470"/>
    </row>
    <row r="135" spans="7:16">
      <c r="G135" s="2457" t="s">
        <v>810</v>
      </c>
      <c r="H135" s="2458"/>
      <c r="I135" s="2458"/>
      <c r="J135" s="2458"/>
      <c r="K135" s="2458"/>
      <c r="L135" s="2458"/>
      <c r="M135" s="2455">
        <f>'GENERAL INFO'!D84</f>
        <v>0</v>
      </c>
      <c r="N135" s="2455"/>
      <c r="O135" s="2455"/>
      <c r="P135" s="2456"/>
    </row>
    <row r="136" spans="7:16">
      <c r="G136" s="2457" t="s">
        <v>811</v>
      </c>
      <c r="H136" s="2458"/>
      <c r="I136" s="2458"/>
      <c r="J136" s="2458"/>
      <c r="K136" s="2458"/>
      <c r="L136" s="2458"/>
      <c r="M136" s="2455">
        <f>'GENERAL INFO'!D85</f>
        <v>0</v>
      </c>
      <c r="N136" s="2455"/>
      <c r="O136" s="2455"/>
      <c r="P136" s="2456"/>
    </row>
    <row r="137" spans="7:16">
      <c r="G137" s="2457" t="s">
        <v>812</v>
      </c>
      <c r="H137" s="2458"/>
      <c r="I137" s="2458"/>
      <c r="J137" s="2458"/>
      <c r="K137" s="2458"/>
      <c r="L137" s="2458"/>
      <c r="M137" s="2455">
        <f>'GENERAL INFO'!D86</f>
        <v>0</v>
      </c>
      <c r="N137" s="2455"/>
      <c r="O137" s="2455"/>
      <c r="P137" s="2456"/>
    </row>
    <row r="138" spans="7:16">
      <c r="G138" s="2457" t="s">
        <v>813</v>
      </c>
      <c r="H138" s="2458"/>
      <c r="I138" s="2458"/>
      <c r="J138" s="2458"/>
      <c r="K138" s="2458"/>
      <c r="L138" s="2458"/>
      <c r="M138" s="2455">
        <f>'GENERAL INFO'!D87</f>
        <v>0</v>
      </c>
      <c r="N138" s="2455"/>
      <c r="O138" s="2455"/>
      <c r="P138" s="2456"/>
    </row>
    <row r="139" spans="7:16">
      <c r="G139" s="2457" t="s">
        <v>814</v>
      </c>
      <c r="H139" s="2458"/>
      <c r="I139" s="2458"/>
      <c r="J139" s="2458"/>
      <c r="K139" s="2458"/>
      <c r="L139" s="2458"/>
      <c r="M139" s="2455">
        <f>'GENERAL INFO'!D88</f>
        <v>0</v>
      </c>
      <c r="N139" s="2455"/>
      <c r="O139" s="2455"/>
      <c r="P139" s="2456"/>
    </row>
    <row r="140" spans="7:16">
      <c r="G140" s="2457" t="s">
        <v>815</v>
      </c>
      <c r="H140" s="2458"/>
      <c r="I140" s="2458"/>
      <c r="J140" s="2458"/>
      <c r="K140" s="2458"/>
      <c r="L140" s="2458"/>
      <c r="M140" s="2455">
        <f>'GENERAL INFO'!D89</f>
        <v>0</v>
      </c>
      <c r="N140" s="2455"/>
      <c r="O140" s="2455"/>
      <c r="P140" s="2456"/>
    </row>
    <row r="141" spans="7:16">
      <c r="G141" s="2457" t="s">
        <v>816</v>
      </c>
      <c r="H141" s="2458"/>
      <c r="I141" s="2458"/>
      <c r="J141" s="2458"/>
      <c r="K141" s="2458"/>
      <c r="L141" s="2458"/>
      <c r="M141" s="2455">
        <f>'GENERAL INFO'!D90</f>
        <v>0</v>
      </c>
      <c r="N141" s="2455"/>
      <c r="O141" s="2455"/>
      <c r="P141" s="2456"/>
    </row>
    <row r="142" spans="7:16">
      <c r="G142" s="2457" t="s">
        <v>817</v>
      </c>
      <c r="H142" s="2458"/>
      <c r="I142" s="2458"/>
      <c r="J142" s="2458"/>
      <c r="K142" s="2458"/>
      <c r="L142" s="2458"/>
      <c r="M142" s="2455">
        <f>'GENERAL INFO'!D91</f>
        <v>0</v>
      </c>
      <c r="N142" s="2455"/>
      <c r="O142" s="2455"/>
      <c r="P142" s="2456"/>
    </row>
    <row r="143" spans="7:16">
      <c r="G143" s="2457" t="s">
        <v>818</v>
      </c>
      <c r="H143" s="2458"/>
      <c r="I143" s="2458"/>
      <c r="J143" s="2458"/>
      <c r="K143" s="2458"/>
      <c r="L143" s="2458"/>
      <c r="M143" s="2455">
        <f>'GENERAL INFO'!D92</f>
        <v>0</v>
      </c>
      <c r="N143" s="2455"/>
      <c r="O143" s="2455"/>
      <c r="P143" s="2456"/>
    </row>
    <row r="144" spans="7:16">
      <c r="G144" s="2457" t="s">
        <v>819</v>
      </c>
      <c r="H144" s="2458"/>
      <c r="I144" s="2458"/>
      <c r="J144" s="2458"/>
      <c r="K144" s="2458"/>
      <c r="L144" s="2458"/>
      <c r="M144" s="2455">
        <f>'GENERAL INFO'!D93</f>
        <v>0</v>
      </c>
      <c r="N144" s="2455"/>
      <c r="O144" s="2455"/>
      <c r="P144" s="2456"/>
    </row>
    <row r="145" spans="7:16">
      <c r="G145" s="2457" t="s">
        <v>820</v>
      </c>
      <c r="H145" s="2458"/>
      <c r="I145" s="2458"/>
      <c r="J145" s="2458"/>
      <c r="K145" s="2458"/>
      <c r="L145" s="2458"/>
      <c r="M145" s="2455">
        <f>'GENERAL INFO'!D94</f>
        <v>0</v>
      </c>
      <c r="N145" s="2455"/>
      <c r="O145" s="2455"/>
      <c r="P145" s="2456"/>
    </row>
    <row r="146" spans="7:16">
      <c r="G146" s="2457" t="s">
        <v>821</v>
      </c>
      <c r="H146" s="2458"/>
      <c r="I146" s="2458"/>
      <c r="J146" s="2458"/>
      <c r="K146" s="2458"/>
      <c r="L146" s="2458"/>
      <c r="M146" s="2455">
        <f>'GENERAL INFO'!D95</f>
        <v>0</v>
      </c>
      <c r="N146" s="2455"/>
      <c r="O146" s="2455"/>
      <c r="P146" s="2456"/>
    </row>
    <row r="147" spans="7:16">
      <c r="G147" s="2482"/>
      <c r="H147" s="2483"/>
      <c r="I147" s="2483"/>
      <c r="J147" s="2483"/>
      <c r="K147" s="2483"/>
      <c r="L147" s="2483"/>
      <c r="M147" s="2484"/>
      <c r="N147" s="2484"/>
      <c r="O147" s="2484"/>
      <c r="P147" s="2485"/>
    </row>
    <row r="148" spans="1:29" s="640" customFormat="1" ht="13">
      <c r="A148" s="655"/>
      <c r="B148" s="655"/>
      <c r="C148" s="655"/>
      <c r="D148" s="655"/>
      <c r="E148" s="655"/>
      <c r="F148" s="655"/>
      <c r="G148" s="2459" t="s">
        <v>822</v>
      </c>
      <c r="H148" s="2460"/>
      <c r="I148" s="2460"/>
      <c r="J148" s="2460"/>
      <c r="K148" s="2460"/>
      <c r="L148" s="2460"/>
      <c r="M148" s="2461">
        <f>'GENERAL INFO'!D98</f>
        <v>0</v>
      </c>
      <c r="N148" s="2461"/>
      <c r="O148" s="2461"/>
      <c r="P148" s="2462"/>
      <c r="Q148" s="655"/>
      <c r="R148" s="655"/>
      <c r="S148" s="655"/>
      <c r="T148" s="655"/>
      <c r="U148" s="655"/>
      <c r="V148" s="655"/>
      <c r="W148" s="655"/>
      <c r="X148" s="655"/>
      <c r="Y148" s="655"/>
      <c r="Z148" s="655"/>
      <c r="AA148" s="655"/>
      <c r="AB148" s="655"/>
      <c r="AC148" s="655"/>
    </row>
    <row r="149" spans="1:29" s="640" customFormat="1" ht="13.5" thickBot="1">
      <c r="A149" s="655"/>
      <c r="B149" s="655"/>
      <c r="C149" s="655"/>
      <c r="D149" s="655"/>
      <c r="E149" s="655"/>
      <c r="F149" s="655"/>
      <c r="G149" s="2476" t="s">
        <v>823</v>
      </c>
      <c r="H149" s="2477"/>
      <c r="I149" s="2477"/>
      <c r="J149" s="2477"/>
      <c r="K149" s="2477"/>
      <c r="L149" s="2478"/>
      <c r="M149" s="2479">
        <f>'GENERAL INFO'!D99</f>
        <v>0</v>
      </c>
      <c r="N149" s="2480"/>
      <c r="O149" s="2480"/>
      <c r="P149" s="2481"/>
      <c r="Q149" s="655"/>
      <c r="R149" s="655"/>
      <c r="S149" s="655"/>
      <c r="T149" s="655"/>
      <c r="U149" s="655"/>
      <c r="V149" s="655"/>
      <c r="W149" s="655"/>
      <c r="X149" s="655"/>
      <c r="Y149" s="655"/>
      <c r="Z149" s="655"/>
      <c r="AA149" s="655"/>
      <c r="AB149" s="655"/>
      <c r="AC149" s="655"/>
    </row>
    <row r="151" s="641" customFormat="1"/>
    <row r="152" spans="1:30" s="641" customFormat="1" ht="20">
      <c r="A152" s="693" t="s">
        <v>981</v>
      </c>
      <c r="B152" s="653"/>
      <c r="C152" s="653"/>
      <c r="D152" s="653"/>
      <c r="E152" s="653"/>
      <c r="F152" s="653"/>
      <c r="G152" s="653"/>
      <c r="H152" s="653"/>
      <c r="I152" s="653"/>
      <c r="J152" s="653"/>
      <c r="K152" s="653"/>
      <c r="L152" s="653"/>
      <c r="M152" s="653"/>
      <c r="N152" s="653"/>
      <c r="O152" s="653"/>
      <c r="P152" s="653"/>
      <c r="Q152" s="653"/>
      <c r="R152" s="653"/>
      <c r="S152" s="653"/>
      <c r="T152" s="653"/>
      <c r="U152" s="653"/>
      <c r="V152" s="653"/>
      <c r="W152" s="653"/>
      <c r="X152" s="653"/>
      <c r="Y152" s="653"/>
      <c r="Z152" s="653"/>
      <c r="AA152" s="653"/>
      <c r="AB152" s="653"/>
      <c r="AC152" s="653"/>
      <c r="AD152" s="653"/>
    </row>
    <row r="153" spans="1:30" s="641" customFormat="1">
      <c r="A153" s="653"/>
      <c r="B153" s="653"/>
      <c r="C153" s="653"/>
      <c r="D153" s="653"/>
      <c r="E153" s="653"/>
      <c r="F153" s="653"/>
      <c r="G153" s="653"/>
      <c r="H153" s="653"/>
      <c r="I153" s="653"/>
      <c r="J153" s="653"/>
      <c r="K153" s="653"/>
      <c r="L153" s="653"/>
      <c r="M153" s="653"/>
      <c r="N153" s="653"/>
      <c r="O153" s="653"/>
      <c r="P153" s="653"/>
      <c r="Q153" s="653"/>
      <c r="R153" s="653"/>
      <c r="S153" s="653"/>
      <c r="T153" s="653"/>
      <c r="U153" s="653"/>
      <c r="V153" s="653"/>
      <c r="W153" s="653"/>
      <c r="X153" s="653"/>
      <c r="Y153" s="653"/>
      <c r="Z153" s="653"/>
      <c r="AA153" s="653"/>
      <c r="AB153" s="653"/>
      <c r="AC153" s="653"/>
      <c r="AD153" s="653"/>
    </row>
    <row r="154" spans="1:28" s="641" customFormat="1" ht="14">
      <c r="A154" s="694" t="s">
        <v>982</v>
      </c>
      <c r="B154" s="653"/>
      <c r="C154" s="653"/>
      <c r="D154" s="653"/>
      <c r="E154" s="653"/>
      <c r="F154" s="653"/>
      <c r="G154" s="653"/>
      <c r="H154" s="653"/>
      <c r="I154" s="653"/>
      <c r="J154" s="653"/>
      <c r="K154" s="653"/>
      <c r="L154" s="653"/>
      <c r="M154" s="653"/>
      <c r="N154" s="653"/>
      <c r="O154" s="653"/>
      <c r="P154" s="653"/>
      <c r="Q154" s="653"/>
      <c r="R154" s="653"/>
      <c r="S154" s="653"/>
      <c r="T154" s="653"/>
      <c r="U154" s="653"/>
      <c r="V154" s="653"/>
      <c r="W154" s="653"/>
      <c r="X154" s="653"/>
      <c r="Y154" s="653"/>
      <c r="Z154" s="653"/>
      <c r="AA154" s="653"/>
      <c r="AB154" s="653"/>
    </row>
    <row r="155" spans="1:28" s="641" customFormat="1" ht="13" thickBot="1">
      <c r="A155" s="653"/>
      <c r="B155" s="653"/>
      <c r="C155" s="653"/>
      <c r="D155" s="653"/>
      <c r="E155" s="653"/>
      <c r="F155" s="653"/>
      <c r="G155" s="653"/>
      <c r="H155" s="653"/>
      <c r="I155" s="653"/>
      <c r="J155" s="653"/>
      <c r="K155" s="653"/>
      <c r="L155" s="653"/>
      <c r="M155" s="653"/>
      <c r="N155" s="653"/>
      <c r="O155" s="653"/>
      <c r="P155" s="653"/>
      <c r="Q155" s="653"/>
      <c r="R155" s="653"/>
      <c r="S155" s="653"/>
      <c r="T155" s="653"/>
      <c r="U155" s="653"/>
      <c r="V155" s="653"/>
      <c r="W155" s="653"/>
      <c r="X155" s="653"/>
      <c r="Y155" s="653"/>
      <c r="Z155" s="653"/>
      <c r="AA155" s="653"/>
      <c r="AB155" s="653"/>
    </row>
    <row r="156" spans="1:28" s="652" customFormat="1" ht="28.15" customHeight="1">
      <c r="A156" s="701" t="s">
        <v>728</v>
      </c>
      <c r="B156" s="2441" t="s">
        <v>977</v>
      </c>
      <c r="C156" s="2442"/>
      <c r="D156" s="2441" t="s">
        <v>983</v>
      </c>
      <c r="E156" s="2443"/>
      <c r="F156" s="2443"/>
      <c r="G156" s="2443"/>
      <c r="H156" s="2443"/>
      <c r="I156" s="2443"/>
      <c r="J156" s="2443"/>
      <c r="K156" s="2443"/>
      <c r="L156" s="2443"/>
      <c r="M156" s="2443"/>
      <c r="N156" s="2442"/>
      <c r="O156" s="2441" t="s">
        <v>759</v>
      </c>
      <c r="P156" s="2443"/>
      <c r="Q156" s="2443"/>
      <c r="R156" s="2442"/>
      <c r="S156" s="2441" t="s">
        <v>760</v>
      </c>
      <c r="T156" s="2443"/>
      <c r="U156" s="2443"/>
      <c r="V156" s="2443"/>
      <c r="W156" s="2442"/>
      <c r="X156" s="2441" t="s">
        <v>984</v>
      </c>
      <c r="Y156" s="2443"/>
      <c r="Z156" s="2443"/>
      <c r="AA156" s="2443"/>
      <c r="AB156" s="2498"/>
    </row>
    <row r="157" spans="1:28" s="651" customFormat="1" ht="15.65" customHeight="1" thickBot="1">
      <c r="A157" s="649" t="s">
        <v>65</v>
      </c>
      <c r="B157" s="2444" t="s">
        <v>64</v>
      </c>
      <c r="C157" s="2445"/>
      <c r="D157" s="2444" t="s">
        <v>66</v>
      </c>
      <c r="E157" s="2446"/>
      <c r="F157" s="2446"/>
      <c r="G157" s="2446"/>
      <c r="H157" s="2446"/>
      <c r="I157" s="2446"/>
      <c r="J157" s="2446"/>
      <c r="K157" s="2446"/>
      <c r="L157" s="2446"/>
      <c r="M157" s="2446"/>
      <c r="N157" s="2445"/>
      <c r="O157" s="2444" t="s">
        <v>67</v>
      </c>
      <c r="P157" s="2446"/>
      <c r="Q157" s="2446"/>
      <c r="R157" s="2445"/>
      <c r="S157" s="2444" t="s">
        <v>68</v>
      </c>
      <c r="T157" s="2446"/>
      <c r="U157" s="2446"/>
      <c r="V157" s="2446"/>
      <c r="W157" s="2445"/>
      <c r="X157" s="2444" t="s">
        <v>100</v>
      </c>
      <c r="Y157" s="2446"/>
      <c r="Z157" s="2446"/>
      <c r="AA157" s="2446"/>
      <c r="AB157" s="2499"/>
    </row>
    <row r="158" spans="1:28" s="696" customFormat="1">
      <c r="A158" s="698">
        <v>1</v>
      </c>
      <c r="B158" s="2447" t="str">
        <f ca="1">'A &amp; L INFO'!R8</f>
        <v/>
      </c>
      <c r="C158" s="2448"/>
      <c r="D158" s="2452" t="str">
        <f ca="1">'A &amp; L INFO'!S8</f>
        <v/>
      </c>
      <c r="E158" s="2453"/>
      <c r="F158" s="2453"/>
      <c r="G158" s="2453"/>
      <c r="H158" s="2453"/>
      <c r="I158" s="2453"/>
      <c r="J158" s="2453"/>
      <c r="K158" s="2453"/>
      <c r="L158" s="2453"/>
      <c r="M158" s="2453"/>
      <c r="N158" s="2454"/>
      <c r="O158" s="2304" t="str">
        <f ca="1">IF('A &amp; L INFO'!V8&lt;&gt;"",'A &amp; L INFO'!V8,"")</f>
        <v/>
      </c>
      <c r="P158" s="2305"/>
      <c r="Q158" s="2305"/>
      <c r="R158" s="2306"/>
      <c r="S158" s="2449" t="str">
        <f ca="1">'A &amp; L INFO'!U8</f>
        <v/>
      </c>
      <c r="T158" s="2450"/>
      <c r="U158" s="2450"/>
      <c r="V158" s="2450"/>
      <c r="W158" s="2451"/>
      <c r="X158" s="695"/>
      <c r="Y158" s="696"/>
      <c r="Z158" s="696"/>
      <c r="AA158" s="696"/>
      <c r="AB158" s="697"/>
    </row>
    <row r="159" spans="1:28" s="696" customFormat="1">
      <c r="A159" s="698">
        <v>2</v>
      </c>
      <c r="B159" s="2471" t="str">
        <f ca="1">'A &amp; L INFO'!R9</f>
        <v/>
      </c>
      <c r="C159" s="2472"/>
      <c r="D159" s="2473" t="str">
        <f ca="1">'A &amp; L INFO'!S9</f>
        <v/>
      </c>
      <c r="E159" s="2474"/>
      <c r="F159" s="2474"/>
      <c r="G159" s="2474"/>
      <c r="H159" s="2474"/>
      <c r="I159" s="2474"/>
      <c r="J159" s="2474"/>
      <c r="K159" s="2474"/>
      <c r="L159" s="2474"/>
      <c r="M159" s="2474"/>
      <c r="N159" s="2475"/>
      <c r="O159" s="2307" t="str">
        <f ca="1">IF('A &amp; L INFO'!V9&lt;&gt;"",'A &amp; L INFO'!V9,"")</f>
        <v/>
      </c>
      <c r="P159" s="2308"/>
      <c r="Q159" s="2308"/>
      <c r="R159" s="2309"/>
      <c r="S159" s="2310" t="str">
        <f ca="1">'A &amp; L INFO'!U9</f>
        <v/>
      </c>
      <c r="T159" s="2311"/>
      <c r="U159" s="2311"/>
      <c r="V159" s="2311"/>
      <c r="W159" s="2312"/>
      <c r="X159" s="695"/>
      <c r="Y159" s="696"/>
      <c r="Z159" s="696"/>
      <c r="AA159" s="696"/>
      <c r="AB159" s="697"/>
    </row>
    <row r="160" spans="1:28" s="696" customFormat="1">
      <c r="A160" s="698">
        <v>3</v>
      </c>
      <c r="B160" s="2471" t="str">
        <f ca="1">'A &amp; L INFO'!R10</f>
        <v/>
      </c>
      <c r="C160" s="2472"/>
      <c r="D160" s="2473" t="str">
        <f ca="1">'A &amp; L INFO'!S10</f>
        <v/>
      </c>
      <c r="E160" s="2474"/>
      <c r="F160" s="2474"/>
      <c r="G160" s="2474"/>
      <c r="H160" s="2474"/>
      <c r="I160" s="2474"/>
      <c r="J160" s="2474"/>
      <c r="K160" s="2474"/>
      <c r="L160" s="2474"/>
      <c r="M160" s="2474"/>
      <c r="N160" s="2475"/>
      <c r="O160" s="2307" t="str">
        <f ca="1">IF('A &amp; L INFO'!V10&lt;&gt;"",'A &amp; L INFO'!V10,"")</f>
        <v/>
      </c>
      <c r="P160" s="2308"/>
      <c r="Q160" s="2308"/>
      <c r="R160" s="2309"/>
      <c r="S160" s="2310" t="str">
        <f ca="1">'A &amp; L INFO'!U10</f>
        <v/>
      </c>
      <c r="T160" s="2311"/>
      <c r="U160" s="2311"/>
      <c r="V160" s="2311"/>
      <c r="W160" s="2312"/>
      <c r="X160" s="695"/>
      <c r="Y160" s="696"/>
      <c r="Z160" s="696"/>
      <c r="AA160" s="696"/>
      <c r="AB160" s="697"/>
    </row>
    <row r="161" spans="1:28" s="696" customFormat="1">
      <c r="A161" s="698">
        <v>4</v>
      </c>
      <c r="B161" s="2471" t="str">
        <f ca="1">'A &amp; L INFO'!R11</f>
        <v/>
      </c>
      <c r="C161" s="2472"/>
      <c r="D161" s="2473" t="str">
        <f ca="1">'A &amp; L INFO'!S11</f>
        <v/>
      </c>
      <c r="E161" s="2474"/>
      <c r="F161" s="2474"/>
      <c r="G161" s="2474"/>
      <c r="H161" s="2474"/>
      <c r="I161" s="2474"/>
      <c r="J161" s="2474"/>
      <c r="K161" s="2474"/>
      <c r="L161" s="2474"/>
      <c r="M161" s="2474"/>
      <c r="N161" s="2475"/>
      <c r="O161" s="2307" t="str">
        <f ca="1">IF('A &amp; L INFO'!V11&lt;&gt;"",'A &amp; L INFO'!V11,"")</f>
        <v/>
      </c>
      <c r="P161" s="2308"/>
      <c r="Q161" s="2308"/>
      <c r="R161" s="2309"/>
      <c r="S161" s="2310" t="str">
        <f ca="1">'A &amp; L INFO'!U11</f>
        <v/>
      </c>
      <c r="T161" s="2311"/>
      <c r="U161" s="2311"/>
      <c r="V161" s="2311"/>
      <c r="W161" s="2312"/>
      <c r="X161" s="695"/>
      <c r="Y161" s="696"/>
      <c r="Z161" s="696"/>
      <c r="AA161" s="696"/>
      <c r="AB161" s="697"/>
    </row>
    <row r="162" spans="1:28" s="696" customFormat="1">
      <c r="A162" s="698">
        <v>5</v>
      </c>
      <c r="B162" s="2471" t="str">
        <f ca="1">'A &amp; L INFO'!R12</f>
        <v/>
      </c>
      <c r="C162" s="2472"/>
      <c r="D162" s="2473" t="str">
        <f ca="1">'A &amp; L INFO'!S12</f>
        <v/>
      </c>
      <c r="E162" s="2474"/>
      <c r="F162" s="2474"/>
      <c r="G162" s="2474"/>
      <c r="H162" s="2474"/>
      <c r="I162" s="2474"/>
      <c r="J162" s="2474"/>
      <c r="K162" s="2474"/>
      <c r="L162" s="2474"/>
      <c r="M162" s="2474"/>
      <c r="N162" s="2475"/>
      <c r="O162" s="2307" t="str">
        <f ca="1">IF('A &amp; L INFO'!V12&lt;&gt;"",'A &amp; L INFO'!V12,"")</f>
        <v/>
      </c>
      <c r="P162" s="2308"/>
      <c r="Q162" s="2308"/>
      <c r="R162" s="2309"/>
      <c r="S162" s="2310" t="str">
        <f ca="1">'A &amp; L INFO'!U12</f>
        <v/>
      </c>
      <c r="T162" s="2311"/>
      <c r="U162" s="2311"/>
      <c r="V162" s="2311"/>
      <c r="W162" s="2312"/>
      <c r="X162" s="695"/>
      <c r="Y162" s="696"/>
      <c r="Z162" s="696"/>
      <c r="AA162" s="696"/>
      <c r="AB162" s="697"/>
    </row>
    <row r="163" spans="1:28" s="696" customFormat="1">
      <c r="A163" s="698">
        <v>6</v>
      </c>
      <c r="B163" s="2471" t="str">
        <f ca="1">'A &amp; L INFO'!R13</f>
        <v/>
      </c>
      <c r="C163" s="2472"/>
      <c r="D163" s="2473" t="str">
        <f ca="1">'A &amp; L INFO'!S13</f>
        <v/>
      </c>
      <c r="E163" s="2474"/>
      <c r="F163" s="2474"/>
      <c r="G163" s="2474"/>
      <c r="H163" s="2474"/>
      <c r="I163" s="2474"/>
      <c r="J163" s="2474"/>
      <c r="K163" s="2474"/>
      <c r="L163" s="2474"/>
      <c r="M163" s="2474"/>
      <c r="N163" s="2475"/>
      <c r="O163" s="2307" t="str">
        <f ca="1">IF('A &amp; L INFO'!V13&lt;&gt;"",'A &amp; L INFO'!V13,"")</f>
        <v/>
      </c>
      <c r="P163" s="2308"/>
      <c r="Q163" s="2308"/>
      <c r="R163" s="2309"/>
      <c r="S163" s="2310" t="str">
        <f ca="1">'A &amp; L INFO'!U13</f>
        <v/>
      </c>
      <c r="T163" s="2311"/>
      <c r="U163" s="2311"/>
      <c r="V163" s="2311"/>
      <c r="W163" s="2312"/>
      <c r="X163" s="695"/>
      <c r="Y163" s="696"/>
      <c r="Z163" s="696"/>
      <c r="AA163" s="696"/>
      <c r="AB163" s="697"/>
    </row>
    <row r="164" spans="1:28" s="696" customFormat="1" ht="13.15" customHeight="1">
      <c r="A164" s="698">
        <v>7</v>
      </c>
      <c r="B164" s="2471" t="str">
        <f ca="1">'A &amp; L INFO'!R14</f>
        <v/>
      </c>
      <c r="C164" s="2472"/>
      <c r="D164" s="2473" t="str">
        <f ca="1">'A &amp; L INFO'!S14</f>
        <v/>
      </c>
      <c r="E164" s="2474"/>
      <c r="F164" s="2474"/>
      <c r="G164" s="2474"/>
      <c r="H164" s="2474"/>
      <c r="I164" s="2474"/>
      <c r="J164" s="2474"/>
      <c r="K164" s="2474"/>
      <c r="L164" s="2474"/>
      <c r="M164" s="2474"/>
      <c r="N164" s="2475"/>
      <c r="O164" s="2307" t="str">
        <f ca="1">IF('A &amp; L INFO'!V14&lt;&gt;"",'A &amp; L INFO'!V14,"")</f>
        <v/>
      </c>
      <c r="P164" s="2308"/>
      <c r="Q164" s="2308"/>
      <c r="R164" s="2309"/>
      <c r="S164" s="2310" t="str">
        <f ca="1">'A &amp; L INFO'!U14</f>
        <v/>
      </c>
      <c r="T164" s="2311"/>
      <c r="U164" s="2311"/>
      <c r="V164" s="2311"/>
      <c r="W164" s="2312"/>
      <c r="X164" s="695"/>
      <c r="Y164" s="696"/>
      <c r="Z164" s="696"/>
      <c r="AA164" s="696"/>
      <c r="AB164" s="697"/>
    </row>
    <row r="165" spans="1:28" s="696" customFormat="1">
      <c r="A165" s="698">
        <v>8</v>
      </c>
      <c r="B165" s="2471" t="str">
        <f ca="1">'A &amp; L INFO'!R15</f>
        <v/>
      </c>
      <c r="C165" s="2472"/>
      <c r="D165" s="2473" t="str">
        <f ca="1">'A &amp; L INFO'!S15</f>
        <v/>
      </c>
      <c r="E165" s="2474"/>
      <c r="F165" s="2474"/>
      <c r="G165" s="2474"/>
      <c r="H165" s="2474"/>
      <c r="I165" s="2474"/>
      <c r="J165" s="2474"/>
      <c r="K165" s="2474"/>
      <c r="L165" s="2474"/>
      <c r="M165" s="2474"/>
      <c r="N165" s="2475"/>
      <c r="O165" s="2307" t="str">
        <f ca="1">IF('A &amp; L INFO'!V15&lt;&gt;"",'A &amp; L INFO'!V15,"")</f>
        <v/>
      </c>
      <c r="P165" s="2308"/>
      <c r="Q165" s="2308"/>
      <c r="R165" s="2309"/>
      <c r="S165" s="2310" t="str">
        <f ca="1">'A &amp; L INFO'!U15</f>
        <v/>
      </c>
      <c r="T165" s="2311"/>
      <c r="U165" s="2311"/>
      <c r="V165" s="2311"/>
      <c r="W165" s="2312"/>
      <c r="X165" s="695"/>
      <c r="Y165" s="696"/>
      <c r="Z165" s="696"/>
      <c r="AA165" s="696"/>
      <c r="AB165" s="697"/>
    </row>
    <row r="166" spans="1:28" s="696" customFormat="1">
      <c r="A166" s="698">
        <v>9</v>
      </c>
      <c r="B166" s="2471" t="str">
        <f ca="1">'A &amp; L INFO'!R16</f>
        <v/>
      </c>
      <c r="C166" s="2472"/>
      <c r="D166" s="2473" t="str">
        <f ca="1">'A &amp; L INFO'!S16</f>
        <v/>
      </c>
      <c r="E166" s="2474"/>
      <c r="F166" s="2474"/>
      <c r="G166" s="2474"/>
      <c r="H166" s="2474"/>
      <c r="I166" s="2474"/>
      <c r="J166" s="2474"/>
      <c r="K166" s="2474"/>
      <c r="L166" s="2474"/>
      <c r="M166" s="2474"/>
      <c r="N166" s="2475"/>
      <c r="O166" s="2307" t="str">
        <f ca="1">IF('A &amp; L INFO'!V16&lt;&gt;"",'A &amp; L INFO'!V16,"")</f>
        <v/>
      </c>
      <c r="P166" s="2308"/>
      <c r="Q166" s="2308"/>
      <c r="R166" s="2309"/>
      <c r="S166" s="2310" t="str">
        <f ca="1">'A &amp; L INFO'!U16</f>
        <v/>
      </c>
      <c r="T166" s="2311"/>
      <c r="U166" s="2311"/>
      <c r="V166" s="2311"/>
      <c r="W166" s="2312"/>
      <c r="X166" s="695"/>
      <c r="Y166" s="696"/>
      <c r="Z166" s="696"/>
      <c r="AA166" s="696"/>
      <c r="AB166" s="697"/>
    </row>
    <row r="167" spans="1:28" s="696" customFormat="1">
      <c r="A167" s="698">
        <v>10</v>
      </c>
      <c r="B167" s="2471" t="str">
        <f ca="1">'A &amp; L INFO'!R17</f>
        <v/>
      </c>
      <c r="C167" s="2472"/>
      <c r="D167" s="2473" t="str">
        <f ca="1">'A &amp; L INFO'!S17</f>
        <v/>
      </c>
      <c r="E167" s="2474"/>
      <c r="F167" s="2474"/>
      <c r="G167" s="2474"/>
      <c r="H167" s="2474"/>
      <c r="I167" s="2474"/>
      <c r="J167" s="2474"/>
      <c r="K167" s="2474"/>
      <c r="L167" s="2474"/>
      <c r="M167" s="2474"/>
      <c r="N167" s="2475"/>
      <c r="O167" s="2307" t="str">
        <f ca="1">IF('A &amp; L INFO'!V17&lt;&gt;"",'A &amp; L INFO'!V17,"")</f>
        <v/>
      </c>
      <c r="P167" s="2308"/>
      <c r="Q167" s="2308"/>
      <c r="R167" s="2309"/>
      <c r="S167" s="2310" t="str">
        <f ca="1">'A &amp; L INFO'!U17</f>
        <v/>
      </c>
      <c r="T167" s="2311"/>
      <c r="U167" s="2311"/>
      <c r="V167" s="2311"/>
      <c r="W167" s="2312"/>
      <c r="X167" s="695"/>
      <c r="Y167" s="696"/>
      <c r="Z167" s="696"/>
      <c r="AA167" s="696"/>
      <c r="AB167" s="697"/>
    </row>
    <row r="168" spans="1:28" s="696" customFormat="1">
      <c r="A168" s="698">
        <v>11</v>
      </c>
      <c r="B168" s="2471" t="str">
        <f ca="1">'A &amp; L INFO'!R18</f>
        <v/>
      </c>
      <c r="C168" s="2472"/>
      <c r="D168" s="2473" t="str">
        <f ca="1">'A &amp; L INFO'!S18</f>
        <v/>
      </c>
      <c r="E168" s="2474"/>
      <c r="F168" s="2474"/>
      <c r="G168" s="2474"/>
      <c r="H168" s="2474"/>
      <c r="I168" s="2474"/>
      <c r="J168" s="2474"/>
      <c r="K168" s="2474"/>
      <c r="L168" s="2474"/>
      <c r="M168" s="2474"/>
      <c r="N168" s="2475"/>
      <c r="O168" s="2307" t="str">
        <f ca="1">IF('A &amp; L INFO'!V18&lt;&gt;"",'A &amp; L INFO'!V18,"")</f>
        <v/>
      </c>
      <c r="P168" s="2308"/>
      <c r="Q168" s="2308"/>
      <c r="R168" s="2309"/>
      <c r="S168" s="2310" t="str">
        <f ca="1">'A &amp; L INFO'!U18</f>
        <v/>
      </c>
      <c r="T168" s="2311"/>
      <c r="U168" s="2311"/>
      <c r="V168" s="2311"/>
      <c r="W168" s="2312"/>
      <c r="X168" s="695"/>
      <c r="Y168" s="696"/>
      <c r="Z168" s="696"/>
      <c r="AA168" s="696"/>
      <c r="AB168" s="697"/>
    </row>
    <row r="169" spans="1:28" s="696" customFormat="1">
      <c r="A169" s="698">
        <v>12</v>
      </c>
      <c r="B169" s="2471" t="str">
        <f ca="1">'A &amp; L INFO'!R19</f>
        <v/>
      </c>
      <c r="C169" s="2472"/>
      <c r="D169" s="2473" t="str">
        <f ca="1">'A &amp; L INFO'!S19</f>
        <v/>
      </c>
      <c r="E169" s="2474"/>
      <c r="F169" s="2474"/>
      <c r="G169" s="2474"/>
      <c r="H169" s="2474"/>
      <c r="I169" s="2474"/>
      <c r="J169" s="2474"/>
      <c r="K169" s="2474"/>
      <c r="L169" s="2474"/>
      <c r="M169" s="2474"/>
      <c r="N169" s="2475"/>
      <c r="O169" s="2307" t="str">
        <f ca="1">IF('A &amp; L INFO'!V19&lt;&gt;"",'A &amp; L INFO'!V19,"")</f>
        <v/>
      </c>
      <c r="P169" s="2308"/>
      <c r="Q169" s="2308"/>
      <c r="R169" s="2309"/>
      <c r="S169" s="2310" t="str">
        <f ca="1">'A &amp; L INFO'!U19</f>
        <v/>
      </c>
      <c r="T169" s="2311"/>
      <c r="U169" s="2311"/>
      <c r="V169" s="2311"/>
      <c r="W169" s="2312"/>
      <c r="X169" s="695"/>
      <c r="Y169" s="696"/>
      <c r="Z169" s="696"/>
      <c r="AA169" s="696"/>
      <c r="AB169" s="697"/>
    </row>
    <row r="170" spans="1:28" s="696" customFormat="1">
      <c r="A170" s="698">
        <v>13</v>
      </c>
      <c r="B170" s="2471" t="str">
        <f ca="1">'A &amp; L INFO'!R20</f>
        <v/>
      </c>
      <c r="C170" s="2472"/>
      <c r="D170" s="2473" t="str">
        <f ca="1">'A &amp; L INFO'!S20</f>
        <v/>
      </c>
      <c r="E170" s="2474"/>
      <c r="F170" s="2474"/>
      <c r="G170" s="2474"/>
      <c r="H170" s="2474"/>
      <c r="I170" s="2474"/>
      <c r="J170" s="2474"/>
      <c r="K170" s="2474"/>
      <c r="L170" s="2474"/>
      <c r="M170" s="2474"/>
      <c r="N170" s="2475"/>
      <c r="O170" s="2307" t="str">
        <f ca="1">IF('A &amp; L INFO'!V20&lt;&gt;"",'A &amp; L INFO'!V20,"")</f>
        <v/>
      </c>
      <c r="P170" s="2308"/>
      <c r="Q170" s="2308"/>
      <c r="R170" s="2309"/>
      <c r="S170" s="2310" t="str">
        <f ca="1">'A &amp; L INFO'!U20</f>
        <v/>
      </c>
      <c r="T170" s="2311"/>
      <c r="U170" s="2311"/>
      <c r="V170" s="2311"/>
      <c r="W170" s="2312"/>
      <c r="X170" s="695"/>
      <c r="Y170" s="696"/>
      <c r="Z170" s="696"/>
      <c r="AA170" s="696"/>
      <c r="AB170" s="697"/>
    </row>
    <row r="171" spans="1:28" s="696" customFormat="1">
      <c r="A171" s="698">
        <v>14</v>
      </c>
      <c r="B171" s="2471" t="str">
        <f ca="1">'A &amp; L INFO'!R21</f>
        <v/>
      </c>
      <c r="C171" s="2472"/>
      <c r="D171" s="2473" t="str">
        <f ca="1">'A &amp; L INFO'!S21</f>
        <v/>
      </c>
      <c r="E171" s="2474"/>
      <c r="F171" s="2474"/>
      <c r="G171" s="2474"/>
      <c r="H171" s="2474"/>
      <c r="I171" s="2474"/>
      <c r="J171" s="2474"/>
      <c r="K171" s="2474"/>
      <c r="L171" s="2474"/>
      <c r="M171" s="2474"/>
      <c r="N171" s="2475"/>
      <c r="O171" s="2307" t="str">
        <f ca="1">IF('A &amp; L INFO'!V21&lt;&gt;"",'A &amp; L INFO'!V21,"")</f>
        <v/>
      </c>
      <c r="P171" s="2308"/>
      <c r="Q171" s="2308"/>
      <c r="R171" s="2309"/>
      <c r="S171" s="2310" t="str">
        <f ca="1">'A &amp; L INFO'!U21</f>
        <v/>
      </c>
      <c r="T171" s="2311"/>
      <c r="U171" s="2311"/>
      <c r="V171" s="2311"/>
      <c r="W171" s="2312"/>
      <c r="X171" s="695"/>
      <c r="Y171" s="696"/>
      <c r="Z171" s="696"/>
      <c r="AA171" s="696"/>
      <c r="AB171" s="697"/>
    </row>
    <row r="172" spans="1:28" s="696" customFormat="1">
      <c r="A172" s="698">
        <v>15</v>
      </c>
      <c r="B172" s="2471" t="str">
        <f ca="1">'A &amp; L INFO'!R22</f>
        <v/>
      </c>
      <c r="C172" s="2472"/>
      <c r="D172" s="2473" t="str">
        <f ca="1">'A &amp; L INFO'!S22</f>
        <v/>
      </c>
      <c r="E172" s="2474"/>
      <c r="F172" s="2474"/>
      <c r="G172" s="2474"/>
      <c r="H172" s="2474"/>
      <c r="I172" s="2474"/>
      <c r="J172" s="2474"/>
      <c r="K172" s="2474"/>
      <c r="L172" s="2474"/>
      <c r="M172" s="2474"/>
      <c r="N172" s="2475"/>
      <c r="O172" s="2307" t="str">
        <f ca="1">IF('A &amp; L INFO'!V22&lt;&gt;"",'A &amp; L INFO'!V22,"")</f>
        <v/>
      </c>
      <c r="P172" s="2308"/>
      <c r="Q172" s="2308"/>
      <c r="R172" s="2309"/>
      <c r="S172" s="2310" t="str">
        <f ca="1">'A &amp; L INFO'!U22</f>
        <v/>
      </c>
      <c r="T172" s="2311"/>
      <c r="U172" s="2311"/>
      <c r="V172" s="2311"/>
      <c r="W172" s="2312"/>
      <c r="X172" s="695"/>
      <c r="Y172" s="696"/>
      <c r="Z172" s="696"/>
      <c r="AA172" s="696"/>
      <c r="AB172" s="697"/>
    </row>
    <row r="173" spans="1:28" s="696" customFormat="1">
      <c r="A173" s="698">
        <v>16</v>
      </c>
      <c r="B173" s="2471" t="str">
        <f ca="1">'A &amp; L INFO'!R23</f>
        <v/>
      </c>
      <c r="C173" s="2472"/>
      <c r="D173" s="2473" t="str">
        <f ca="1">'A &amp; L INFO'!S23</f>
        <v/>
      </c>
      <c r="E173" s="2474"/>
      <c r="F173" s="2474"/>
      <c r="G173" s="2474"/>
      <c r="H173" s="2474"/>
      <c r="I173" s="2474"/>
      <c r="J173" s="2474"/>
      <c r="K173" s="2474"/>
      <c r="L173" s="2474"/>
      <c r="M173" s="2474"/>
      <c r="N173" s="2475"/>
      <c r="O173" s="2307" t="str">
        <f ca="1">IF('A &amp; L INFO'!V23&lt;&gt;"",'A &amp; L INFO'!V23,"")</f>
        <v/>
      </c>
      <c r="P173" s="2308"/>
      <c r="Q173" s="2308"/>
      <c r="R173" s="2309"/>
      <c r="S173" s="2310" t="str">
        <f ca="1">'A &amp; L INFO'!U23</f>
        <v/>
      </c>
      <c r="T173" s="2311"/>
      <c r="U173" s="2311"/>
      <c r="V173" s="2311"/>
      <c r="W173" s="2312"/>
      <c r="X173" s="695"/>
      <c r="Y173" s="696"/>
      <c r="Z173" s="696"/>
      <c r="AA173" s="696"/>
      <c r="AB173" s="697"/>
    </row>
    <row r="174" spans="1:28" s="696" customFormat="1">
      <c r="A174" s="698">
        <v>17</v>
      </c>
      <c r="B174" s="2471" t="str">
        <f ca="1">'A &amp; L INFO'!R24</f>
        <v/>
      </c>
      <c r="C174" s="2472"/>
      <c r="D174" s="2473" t="str">
        <f ca="1">'A &amp; L INFO'!S24</f>
        <v/>
      </c>
      <c r="E174" s="2474"/>
      <c r="F174" s="2474"/>
      <c r="G174" s="2474"/>
      <c r="H174" s="2474"/>
      <c r="I174" s="2474"/>
      <c r="J174" s="2474"/>
      <c r="K174" s="2474"/>
      <c r="L174" s="2474"/>
      <c r="M174" s="2474"/>
      <c r="N174" s="2475"/>
      <c r="O174" s="2307" t="str">
        <f ca="1">IF('A &amp; L INFO'!V24&lt;&gt;"",'A &amp; L INFO'!V24,"")</f>
        <v/>
      </c>
      <c r="P174" s="2308"/>
      <c r="Q174" s="2308"/>
      <c r="R174" s="2309"/>
      <c r="S174" s="2310" t="str">
        <f ca="1">'A &amp; L INFO'!U24</f>
        <v/>
      </c>
      <c r="T174" s="2311"/>
      <c r="U174" s="2311"/>
      <c r="V174" s="2311"/>
      <c r="W174" s="2312"/>
      <c r="X174" s="695"/>
      <c r="Y174" s="696"/>
      <c r="Z174" s="696"/>
      <c r="AA174" s="696"/>
      <c r="AB174" s="697"/>
    </row>
    <row r="175" spans="1:28" s="696" customFormat="1">
      <c r="A175" s="698">
        <v>18</v>
      </c>
      <c r="B175" s="2471" t="str">
        <f ca="1">'A &amp; L INFO'!R25</f>
        <v/>
      </c>
      <c r="C175" s="2472"/>
      <c r="D175" s="2473" t="str">
        <f ca="1">'A &amp; L INFO'!S25</f>
        <v/>
      </c>
      <c r="E175" s="2474"/>
      <c r="F175" s="2474"/>
      <c r="G175" s="2474"/>
      <c r="H175" s="2474"/>
      <c r="I175" s="2474"/>
      <c r="J175" s="2474"/>
      <c r="K175" s="2474"/>
      <c r="L175" s="2474"/>
      <c r="M175" s="2474"/>
      <c r="N175" s="2475"/>
      <c r="O175" s="2307" t="str">
        <f ca="1">IF('A &amp; L INFO'!V25&lt;&gt;"",'A &amp; L INFO'!V25,"")</f>
        <v/>
      </c>
      <c r="P175" s="2308"/>
      <c r="Q175" s="2308"/>
      <c r="R175" s="2309"/>
      <c r="S175" s="2310" t="str">
        <f ca="1">'A &amp; L INFO'!U25</f>
        <v/>
      </c>
      <c r="T175" s="2311"/>
      <c r="U175" s="2311"/>
      <c r="V175" s="2311"/>
      <c r="W175" s="2312"/>
      <c r="X175" s="695"/>
      <c r="Y175" s="696"/>
      <c r="Z175" s="696"/>
      <c r="AA175" s="696"/>
      <c r="AB175" s="697"/>
    </row>
    <row r="176" spans="1:28" s="696" customFormat="1">
      <c r="A176" s="698">
        <v>19</v>
      </c>
      <c r="B176" s="2471" t="str">
        <f ca="1">'A &amp; L INFO'!R26</f>
        <v/>
      </c>
      <c r="C176" s="2472"/>
      <c r="D176" s="2473" t="str">
        <f ca="1">'A &amp; L INFO'!S26</f>
        <v/>
      </c>
      <c r="E176" s="2474"/>
      <c r="F176" s="2474"/>
      <c r="G176" s="2474"/>
      <c r="H176" s="2474"/>
      <c r="I176" s="2474"/>
      <c r="J176" s="2474"/>
      <c r="K176" s="2474"/>
      <c r="L176" s="2474"/>
      <c r="M176" s="2474"/>
      <c r="N176" s="2475"/>
      <c r="O176" s="2307" t="str">
        <f ca="1">IF('A &amp; L INFO'!V26&lt;&gt;"",'A &amp; L INFO'!V26,"")</f>
        <v/>
      </c>
      <c r="P176" s="2308"/>
      <c r="Q176" s="2308"/>
      <c r="R176" s="2309"/>
      <c r="S176" s="2310" t="str">
        <f ca="1">'A &amp; L INFO'!U26</f>
        <v/>
      </c>
      <c r="T176" s="2311"/>
      <c r="U176" s="2311"/>
      <c r="V176" s="2311"/>
      <c r="W176" s="2312"/>
      <c r="X176" s="695"/>
      <c r="Y176" s="696"/>
      <c r="Z176" s="696"/>
      <c r="AA176" s="696"/>
      <c r="AB176" s="697"/>
    </row>
    <row r="177" spans="1:28" s="696" customFormat="1">
      <c r="A177" s="698">
        <v>20</v>
      </c>
      <c r="B177" s="2471" t="str">
        <f ca="1">'A &amp; L INFO'!R27</f>
        <v/>
      </c>
      <c r="C177" s="2472"/>
      <c r="D177" s="2473" t="str">
        <f ca="1">'A &amp; L INFO'!S27</f>
        <v/>
      </c>
      <c r="E177" s="2474"/>
      <c r="F177" s="2474"/>
      <c r="G177" s="2474"/>
      <c r="H177" s="2474"/>
      <c r="I177" s="2474"/>
      <c r="J177" s="2474"/>
      <c r="K177" s="2474"/>
      <c r="L177" s="2474"/>
      <c r="M177" s="2474"/>
      <c r="N177" s="2475"/>
      <c r="O177" s="2307" t="str">
        <f ca="1">IF('A &amp; L INFO'!V27&lt;&gt;"",'A &amp; L INFO'!V27,"")</f>
        <v/>
      </c>
      <c r="P177" s="2308"/>
      <c r="Q177" s="2308"/>
      <c r="R177" s="2309"/>
      <c r="S177" s="2310" t="str">
        <f ca="1">'A &amp; L INFO'!U27</f>
        <v/>
      </c>
      <c r="T177" s="2311"/>
      <c r="U177" s="2311"/>
      <c r="V177" s="2311"/>
      <c r="W177" s="2312"/>
      <c r="X177" s="695"/>
      <c r="Y177" s="696"/>
      <c r="Z177" s="696"/>
      <c r="AA177" s="696"/>
      <c r="AB177" s="697"/>
    </row>
    <row r="178" spans="1:28" s="696" customFormat="1">
      <c r="A178" s="698">
        <v>21</v>
      </c>
      <c r="B178" s="2471" t="str">
        <f ca="1">'A &amp; L INFO'!R28</f>
        <v/>
      </c>
      <c r="C178" s="2472"/>
      <c r="D178" s="2473" t="str">
        <f ca="1">'A &amp; L INFO'!S28</f>
        <v/>
      </c>
      <c r="E178" s="2474"/>
      <c r="F178" s="2474"/>
      <c r="G178" s="2474"/>
      <c r="H178" s="2474"/>
      <c r="I178" s="2474"/>
      <c r="J178" s="2474"/>
      <c r="K178" s="2474"/>
      <c r="L178" s="2474"/>
      <c r="M178" s="2474"/>
      <c r="N178" s="2475"/>
      <c r="O178" s="2307" t="str">
        <f ca="1">IF('A &amp; L INFO'!V28&lt;&gt;"",'A &amp; L INFO'!V28,"")</f>
        <v/>
      </c>
      <c r="P178" s="2308"/>
      <c r="Q178" s="2308"/>
      <c r="R178" s="2309"/>
      <c r="S178" s="2310" t="str">
        <f ca="1">'A &amp; L INFO'!U28</f>
        <v/>
      </c>
      <c r="T178" s="2311"/>
      <c r="U178" s="2311"/>
      <c r="V178" s="2311"/>
      <c r="W178" s="2312"/>
      <c r="X178" s="695"/>
      <c r="Y178" s="696"/>
      <c r="Z178" s="696"/>
      <c r="AA178" s="696"/>
      <c r="AB178" s="697"/>
    </row>
    <row r="179" spans="1:28" s="696" customFormat="1">
      <c r="A179" s="698">
        <v>22</v>
      </c>
      <c r="B179" s="2471" t="str">
        <f ca="1">'A &amp; L INFO'!R29</f>
        <v/>
      </c>
      <c r="C179" s="2472"/>
      <c r="D179" s="2473" t="str">
        <f ca="1">'A &amp; L INFO'!S29</f>
        <v/>
      </c>
      <c r="E179" s="2474"/>
      <c r="F179" s="2474"/>
      <c r="G179" s="2474"/>
      <c r="H179" s="2474"/>
      <c r="I179" s="2474"/>
      <c r="J179" s="2474"/>
      <c r="K179" s="2474"/>
      <c r="L179" s="2474"/>
      <c r="M179" s="2474"/>
      <c r="N179" s="2475"/>
      <c r="O179" s="2307" t="str">
        <f ca="1">IF('A &amp; L INFO'!V29&lt;&gt;"",'A &amp; L INFO'!V29,"")</f>
        <v/>
      </c>
      <c r="P179" s="2308"/>
      <c r="Q179" s="2308"/>
      <c r="R179" s="2309"/>
      <c r="S179" s="2310" t="str">
        <f ca="1">'A &amp; L INFO'!U29</f>
        <v/>
      </c>
      <c r="T179" s="2311"/>
      <c r="U179" s="2311"/>
      <c r="V179" s="2311"/>
      <c r="W179" s="2312"/>
      <c r="X179" s="695"/>
      <c r="Y179" s="696"/>
      <c r="Z179" s="696"/>
      <c r="AA179" s="696"/>
      <c r="AB179" s="697"/>
    </row>
    <row r="180" spans="1:28" s="696" customFormat="1">
      <c r="A180" s="698">
        <v>23</v>
      </c>
      <c r="B180" s="2471" t="str">
        <f ca="1">'A &amp; L INFO'!R30</f>
        <v/>
      </c>
      <c r="C180" s="2472"/>
      <c r="D180" s="2473" t="str">
        <f ca="1">'A &amp; L INFO'!S30</f>
        <v/>
      </c>
      <c r="E180" s="2474"/>
      <c r="F180" s="2474"/>
      <c r="G180" s="2474"/>
      <c r="H180" s="2474"/>
      <c r="I180" s="2474"/>
      <c r="J180" s="2474"/>
      <c r="K180" s="2474"/>
      <c r="L180" s="2474"/>
      <c r="M180" s="2474"/>
      <c r="N180" s="2475"/>
      <c r="O180" s="2307" t="str">
        <f ca="1">IF('A &amp; L INFO'!V30&lt;&gt;"",'A &amp; L INFO'!V30,"")</f>
        <v/>
      </c>
      <c r="P180" s="2308"/>
      <c r="Q180" s="2308"/>
      <c r="R180" s="2309"/>
      <c r="S180" s="2310" t="str">
        <f ca="1">'A &amp; L INFO'!U30</f>
        <v/>
      </c>
      <c r="T180" s="2311"/>
      <c r="U180" s="2311"/>
      <c r="V180" s="2311"/>
      <c r="W180" s="2312"/>
      <c r="X180" s="695"/>
      <c r="Y180" s="696"/>
      <c r="Z180" s="696"/>
      <c r="AA180" s="696"/>
      <c r="AB180" s="697"/>
    </row>
    <row r="181" spans="1:28" s="696" customFormat="1">
      <c r="A181" s="698">
        <v>24</v>
      </c>
      <c r="B181" s="2471" t="str">
        <f ca="1">'A &amp; L INFO'!R31</f>
        <v/>
      </c>
      <c r="C181" s="2472"/>
      <c r="D181" s="2473" t="str">
        <f ca="1">'A &amp; L INFO'!S31</f>
        <v/>
      </c>
      <c r="E181" s="2474"/>
      <c r="F181" s="2474"/>
      <c r="G181" s="2474"/>
      <c r="H181" s="2474"/>
      <c r="I181" s="2474"/>
      <c r="J181" s="2474"/>
      <c r="K181" s="2474"/>
      <c r="L181" s="2474"/>
      <c r="M181" s="2474"/>
      <c r="N181" s="2475"/>
      <c r="O181" s="2307" t="str">
        <f ca="1">IF('A &amp; L INFO'!V31&lt;&gt;"",'A &amp; L INFO'!V31,"")</f>
        <v/>
      </c>
      <c r="P181" s="2308"/>
      <c r="Q181" s="2308"/>
      <c r="R181" s="2309"/>
      <c r="S181" s="2310" t="str">
        <f ca="1">'A &amp; L INFO'!U31</f>
        <v/>
      </c>
      <c r="T181" s="2311"/>
      <c r="U181" s="2311"/>
      <c r="V181" s="2311"/>
      <c r="W181" s="2312"/>
      <c r="X181" s="695"/>
      <c r="Y181" s="696"/>
      <c r="Z181" s="696"/>
      <c r="AA181" s="696"/>
      <c r="AB181" s="697"/>
    </row>
    <row r="182" spans="1:28" s="696" customFormat="1">
      <c r="A182" s="698">
        <v>25</v>
      </c>
      <c r="B182" s="2471" t="str">
        <f ca="1">'A &amp; L INFO'!R32</f>
        <v/>
      </c>
      <c r="C182" s="2472"/>
      <c r="D182" s="2473" t="str">
        <f ca="1">'A &amp; L INFO'!S32</f>
        <v/>
      </c>
      <c r="E182" s="2474"/>
      <c r="F182" s="2474"/>
      <c r="G182" s="2474"/>
      <c r="H182" s="2474"/>
      <c r="I182" s="2474"/>
      <c r="J182" s="2474"/>
      <c r="K182" s="2474"/>
      <c r="L182" s="2474"/>
      <c r="M182" s="2474"/>
      <c r="N182" s="2475"/>
      <c r="O182" s="2307" t="str">
        <f ca="1">IF('A &amp; L INFO'!V32&lt;&gt;"",'A &amp; L INFO'!V32,"")</f>
        <v/>
      </c>
      <c r="P182" s="2308"/>
      <c r="Q182" s="2308"/>
      <c r="R182" s="2309"/>
      <c r="S182" s="2310" t="str">
        <f ca="1">'A &amp; L INFO'!U32</f>
        <v/>
      </c>
      <c r="T182" s="2311"/>
      <c r="U182" s="2311"/>
      <c r="V182" s="2311"/>
      <c r="W182" s="2312"/>
      <c r="X182" s="695"/>
      <c r="Y182" s="696"/>
      <c r="Z182" s="696"/>
      <c r="AA182" s="696"/>
      <c r="AB182" s="697"/>
    </row>
    <row r="183" spans="1:28" s="696" customFormat="1">
      <c r="A183" s="698">
        <v>26</v>
      </c>
      <c r="B183" s="2471" t="str">
        <f ca="1">'A &amp; L INFO'!R33</f>
        <v/>
      </c>
      <c r="C183" s="2472"/>
      <c r="D183" s="2473" t="str">
        <f ca="1">'A &amp; L INFO'!S33</f>
        <v/>
      </c>
      <c r="E183" s="2474"/>
      <c r="F183" s="2474"/>
      <c r="G183" s="2474"/>
      <c r="H183" s="2474"/>
      <c r="I183" s="2474"/>
      <c r="J183" s="2474"/>
      <c r="K183" s="2474"/>
      <c r="L183" s="2474"/>
      <c r="M183" s="2474"/>
      <c r="N183" s="2475"/>
      <c r="O183" s="2307" t="str">
        <f ca="1">IF('A &amp; L INFO'!V33&lt;&gt;"",'A &amp; L INFO'!V33,"")</f>
        <v/>
      </c>
      <c r="P183" s="2308"/>
      <c r="Q183" s="2308"/>
      <c r="R183" s="2309"/>
      <c r="S183" s="2310" t="str">
        <f ca="1">'A &amp; L INFO'!U33</f>
        <v/>
      </c>
      <c r="T183" s="2311"/>
      <c r="U183" s="2311"/>
      <c r="V183" s="2311"/>
      <c r="W183" s="2312"/>
      <c r="X183" s="695"/>
      <c r="Y183" s="696"/>
      <c r="Z183" s="696"/>
      <c r="AA183" s="696"/>
      <c r="AB183" s="697"/>
    </row>
    <row r="184" spans="1:28" s="696" customFormat="1">
      <c r="A184" s="698">
        <v>27</v>
      </c>
      <c r="B184" s="2471" t="str">
        <f ca="1">'A &amp; L INFO'!R34</f>
        <v/>
      </c>
      <c r="C184" s="2472"/>
      <c r="D184" s="2473" t="str">
        <f ca="1">'A &amp; L INFO'!S34</f>
        <v/>
      </c>
      <c r="E184" s="2474"/>
      <c r="F184" s="2474"/>
      <c r="G184" s="2474"/>
      <c r="H184" s="2474"/>
      <c r="I184" s="2474"/>
      <c r="J184" s="2474"/>
      <c r="K184" s="2474"/>
      <c r="L184" s="2474"/>
      <c r="M184" s="2474"/>
      <c r="N184" s="2475"/>
      <c r="O184" s="2307" t="str">
        <f ca="1">IF('A &amp; L INFO'!V34&lt;&gt;"",'A &amp; L INFO'!V34,"")</f>
        <v/>
      </c>
      <c r="P184" s="2308"/>
      <c r="Q184" s="2308"/>
      <c r="R184" s="2309"/>
      <c r="S184" s="2310" t="str">
        <f ca="1">'A &amp; L INFO'!U34</f>
        <v/>
      </c>
      <c r="T184" s="2311"/>
      <c r="U184" s="2311"/>
      <c r="V184" s="2311"/>
      <c r="W184" s="2312"/>
      <c r="X184" s="695"/>
      <c r="Y184" s="696"/>
      <c r="Z184" s="696"/>
      <c r="AA184" s="696"/>
      <c r="AB184" s="697"/>
    </row>
    <row r="185" spans="1:28" s="696" customFormat="1">
      <c r="A185" s="698">
        <v>28</v>
      </c>
      <c r="B185" s="2471" t="str">
        <f ca="1">'A &amp; L INFO'!R35</f>
        <v/>
      </c>
      <c r="C185" s="2472"/>
      <c r="D185" s="2473" t="str">
        <f ca="1">'A &amp; L INFO'!S35</f>
        <v/>
      </c>
      <c r="E185" s="2474"/>
      <c r="F185" s="2474"/>
      <c r="G185" s="2474"/>
      <c r="H185" s="2474"/>
      <c r="I185" s="2474"/>
      <c r="J185" s="2474"/>
      <c r="K185" s="2474"/>
      <c r="L185" s="2474"/>
      <c r="M185" s="2474"/>
      <c r="N185" s="2475"/>
      <c r="O185" s="2307" t="str">
        <f ca="1">IF('A &amp; L INFO'!V35&lt;&gt;"",'A &amp; L INFO'!V35,"")</f>
        <v/>
      </c>
      <c r="P185" s="2308"/>
      <c r="Q185" s="2308"/>
      <c r="R185" s="2309"/>
      <c r="S185" s="2310" t="str">
        <f ca="1">'A &amp; L INFO'!U35</f>
        <v/>
      </c>
      <c r="T185" s="2311"/>
      <c r="U185" s="2311"/>
      <c r="V185" s="2311"/>
      <c r="W185" s="2312"/>
      <c r="X185" s="695"/>
      <c r="Y185" s="696"/>
      <c r="Z185" s="696"/>
      <c r="AA185" s="696"/>
      <c r="AB185" s="697"/>
    </row>
    <row r="186" spans="1:28" s="696" customFormat="1">
      <c r="A186" s="698">
        <v>29</v>
      </c>
      <c r="B186" s="2471" t="str">
        <f ca="1">'A &amp; L INFO'!R36</f>
        <v/>
      </c>
      <c r="C186" s="2472"/>
      <c r="D186" s="2473" t="str">
        <f ca="1">'A &amp; L INFO'!S36</f>
        <v/>
      </c>
      <c r="E186" s="2474"/>
      <c r="F186" s="2474"/>
      <c r="G186" s="2474"/>
      <c r="H186" s="2474"/>
      <c r="I186" s="2474"/>
      <c r="J186" s="2474"/>
      <c r="K186" s="2474"/>
      <c r="L186" s="2474"/>
      <c r="M186" s="2474"/>
      <c r="N186" s="2475"/>
      <c r="O186" s="2307" t="str">
        <f ca="1">IF('A &amp; L INFO'!V36&lt;&gt;"",'A &amp; L INFO'!V36,"")</f>
        <v/>
      </c>
      <c r="P186" s="2308"/>
      <c r="Q186" s="2308"/>
      <c r="R186" s="2309"/>
      <c r="S186" s="2310" t="str">
        <f ca="1">'A &amp; L INFO'!U36</f>
        <v/>
      </c>
      <c r="T186" s="2311"/>
      <c r="U186" s="2311"/>
      <c r="V186" s="2311"/>
      <c r="W186" s="2312"/>
      <c r="X186" s="695"/>
      <c r="Y186" s="696"/>
      <c r="Z186" s="696"/>
      <c r="AA186" s="696"/>
      <c r="AB186" s="697"/>
    </row>
    <row r="187" spans="1:28" s="696" customFormat="1">
      <c r="A187" s="698">
        <v>30</v>
      </c>
      <c r="B187" s="2507" t="str">
        <f ca="1">'A &amp; L INFO'!R37</f>
        <v/>
      </c>
      <c r="C187" s="2508"/>
      <c r="D187" s="2504" t="str">
        <f ca="1">'A &amp; L INFO'!S37</f>
        <v/>
      </c>
      <c r="E187" s="2505"/>
      <c r="F187" s="2505"/>
      <c r="G187" s="2505"/>
      <c r="H187" s="2505"/>
      <c r="I187" s="2505"/>
      <c r="J187" s="2505"/>
      <c r="K187" s="2505"/>
      <c r="L187" s="2505"/>
      <c r="M187" s="2505"/>
      <c r="N187" s="2506"/>
      <c r="O187" s="2307" t="str">
        <f ca="1">IF('A &amp; L INFO'!V37&lt;&gt;"",'A &amp; L INFO'!V37,"")</f>
        <v/>
      </c>
      <c r="P187" s="2308"/>
      <c r="Q187" s="2308"/>
      <c r="R187" s="2309"/>
      <c r="S187" s="2509" t="str">
        <f ca="1">'A &amp; L INFO'!U37</f>
        <v/>
      </c>
      <c r="T187" s="2510"/>
      <c r="U187" s="2510"/>
      <c r="V187" s="2510"/>
      <c r="W187" s="2511"/>
      <c r="X187" s="695"/>
      <c r="Y187" s="696"/>
      <c r="Z187" s="696"/>
      <c r="AA187" s="696"/>
      <c r="AB187" s="697"/>
    </row>
    <row r="188" spans="1:28" s="641" customFormat="1" ht="13" thickBot="1">
      <c r="A188" s="699" t="s">
        <v>985</v>
      </c>
      <c r="B188" s="700"/>
      <c r="C188" s="700"/>
      <c r="D188" s="700"/>
      <c r="E188" s="700"/>
      <c r="F188" s="700"/>
      <c r="G188" s="642"/>
      <c r="H188" s="642"/>
      <c r="I188" s="642"/>
      <c r="J188" s="642"/>
      <c r="K188" s="642"/>
      <c r="L188" s="642"/>
      <c r="M188" s="642"/>
      <c r="N188" s="642"/>
      <c r="O188" s="642"/>
      <c r="P188" s="642"/>
      <c r="Q188" s="642"/>
      <c r="R188" s="642"/>
      <c r="S188" s="2488">
        <f ca="1">+SUM(S158:W187)</f>
        <v>0</v>
      </c>
      <c r="T188" s="2489"/>
      <c r="U188" s="2489"/>
      <c r="V188" s="2489"/>
      <c r="W188" s="2490"/>
      <c r="X188" s="642"/>
      <c r="Y188" s="642"/>
      <c r="Z188" s="642"/>
      <c r="AA188" s="642"/>
      <c r="AB188" s="650"/>
    </row>
    <row r="189" s="641" customFormat="1"/>
    <row r="190" spans="1:28" s="641" customFormat="1" ht="25.15" customHeight="1">
      <c r="A190" s="694" t="s">
        <v>986</v>
      </c>
      <c r="B190" s="653"/>
      <c r="C190" s="653"/>
      <c r="D190" s="653"/>
      <c r="E190" s="653"/>
      <c r="F190" s="653"/>
      <c r="G190" s="653"/>
      <c r="H190" s="653"/>
      <c r="I190" s="653"/>
      <c r="J190" s="653"/>
      <c r="K190" s="653"/>
      <c r="L190" s="653"/>
      <c r="M190" s="653"/>
      <c r="N190" s="653"/>
      <c r="O190" s="653"/>
      <c r="P190" s="653"/>
      <c r="Q190" s="653"/>
      <c r="R190" s="653"/>
      <c r="S190" s="653"/>
      <c r="T190" s="653"/>
      <c r="U190" s="653"/>
      <c r="V190" s="653"/>
      <c r="W190" s="653"/>
      <c r="X190" s="653"/>
      <c r="Y190" s="653"/>
      <c r="Z190" s="653"/>
      <c r="AA190" s="653"/>
      <c r="AB190" s="653"/>
    </row>
    <row r="191" spans="1:28" s="641" customFormat="1" ht="13" thickBot="1">
      <c r="A191" s="653"/>
      <c r="B191" s="653"/>
      <c r="C191" s="653"/>
      <c r="D191" s="653"/>
      <c r="E191" s="653"/>
      <c r="F191" s="653"/>
      <c r="G191" s="653"/>
      <c r="H191" s="653"/>
      <c r="I191" s="653"/>
      <c r="J191" s="653"/>
      <c r="K191" s="653"/>
      <c r="L191" s="653"/>
      <c r="M191" s="653"/>
      <c r="N191" s="653"/>
      <c r="O191" s="653"/>
      <c r="P191" s="653"/>
      <c r="Q191" s="653"/>
      <c r="R191" s="653"/>
      <c r="S191" s="653"/>
      <c r="T191" s="653"/>
      <c r="U191" s="653"/>
      <c r="V191" s="653"/>
      <c r="W191" s="653"/>
      <c r="X191" s="653"/>
      <c r="Y191" s="653"/>
      <c r="Z191" s="653"/>
      <c r="AA191" s="653"/>
      <c r="AB191" s="653"/>
    </row>
    <row r="192" spans="1:28" s="641" customFormat="1" ht="13.15" customHeight="1">
      <c r="A192" s="701" t="s">
        <v>728</v>
      </c>
      <c r="B192" s="2441" t="s">
        <v>978</v>
      </c>
      <c r="C192" s="2442"/>
      <c r="D192" s="2441" t="s">
        <v>987</v>
      </c>
      <c r="E192" s="2443"/>
      <c r="F192" s="2443"/>
      <c r="G192" s="2443"/>
      <c r="H192" s="2443"/>
      <c r="I192" s="2443"/>
      <c r="J192" s="2442"/>
      <c r="K192" s="2441" t="s">
        <v>988</v>
      </c>
      <c r="L192" s="2443"/>
      <c r="M192" s="2443"/>
      <c r="N192" s="2443"/>
      <c r="O192" s="2443"/>
      <c r="P192" s="2443"/>
      <c r="Q192" s="2443"/>
      <c r="R192" s="2443"/>
      <c r="S192" s="2442"/>
      <c r="T192" s="2441" t="s">
        <v>989</v>
      </c>
      <c r="U192" s="2443"/>
      <c r="V192" s="2443"/>
      <c r="W192" s="2442"/>
      <c r="X192" s="2441" t="s">
        <v>990</v>
      </c>
      <c r="Y192" s="2443"/>
      <c r="Z192" s="2443"/>
      <c r="AA192" s="2443"/>
      <c r="AB192" s="2498"/>
    </row>
    <row r="193" spans="1:28" s="641" customFormat="1" ht="13" thickBot="1">
      <c r="A193" s="649" t="s">
        <v>65</v>
      </c>
      <c r="B193" s="2444" t="s">
        <v>64</v>
      </c>
      <c r="C193" s="2445"/>
      <c r="D193" s="2444" t="s">
        <v>66</v>
      </c>
      <c r="E193" s="2446"/>
      <c r="F193" s="2446"/>
      <c r="G193" s="2446"/>
      <c r="H193" s="2446"/>
      <c r="I193" s="2446"/>
      <c r="J193" s="2445"/>
      <c r="K193" s="2444" t="s">
        <v>67</v>
      </c>
      <c r="L193" s="2446"/>
      <c r="M193" s="2446"/>
      <c r="N193" s="2446"/>
      <c r="O193" s="2446"/>
      <c r="P193" s="2446"/>
      <c r="Q193" s="2446"/>
      <c r="R193" s="2446"/>
      <c r="S193" s="2445"/>
      <c r="T193" s="2444" t="s">
        <v>68</v>
      </c>
      <c r="U193" s="2446"/>
      <c r="V193" s="2446"/>
      <c r="W193" s="2445"/>
      <c r="X193" s="2444" t="s">
        <v>100</v>
      </c>
      <c r="Y193" s="2446"/>
      <c r="Z193" s="2446"/>
      <c r="AA193" s="2446"/>
      <c r="AB193" s="2499"/>
    </row>
    <row r="194" spans="1:28" s="773" customFormat="1">
      <c r="A194" s="771">
        <v>1</v>
      </c>
      <c r="B194" s="2486" t="str">
        <f ca="1">'A &amp; L INFO'!R40</f>
        <v/>
      </c>
      <c r="C194" s="2487"/>
      <c r="D194" s="2452" t="str">
        <f ca="1">'A &amp; L INFO'!S40</f>
        <v/>
      </c>
      <c r="E194" s="2453"/>
      <c r="F194" s="2453"/>
      <c r="G194" s="2453"/>
      <c r="H194" s="2453"/>
      <c r="I194" s="2453"/>
      <c r="J194" s="2454"/>
      <c r="K194" s="769"/>
      <c r="L194" s="770"/>
      <c r="M194" s="770"/>
      <c r="N194" s="770"/>
      <c r="O194" s="770"/>
      <c r="P194" s="770"/>
      <c r="Q194" s="770"/>
      <c r="R194" s="770"/>
      <c r="S194" s="772"/>
      <c r="T194" s="2491" t="str">
        <f ca="1">IF('A &amp; L INFO'!V40&lt;&gt;"",'A &amp; L INFO'!V40,"")</f>
        <v/>
      </c>
      <c r="U194" s="2492"/>
      <c r="V194" s="2492"/>
      <c r="W194" s="2493"/>
      <c r="X194" s="2310" t="str">
        <f ca="1">'A &amp; L INFO'!U40</f>
        <v/>
      </c>
      <c r="Y194" s="2311"/>
      <c r="Z194" s="2311"/>
      <c r="AA194" s="2311"/>
      <c r="AB194" s="2312"/>
    </row>
    <row r="195" spans="1:28" s="641" customFormat="1" ht="13.9" customHeight="1">
      <c r="A195" s="646">
        <v>2</v>
      </c>
      <c r="B195" s="2500" t="str">
        <f ca="1">'A &amp; L INFO'!R41</f>
        <v/>
      </c>
      <c r="C195" s="2501"/>
      <c r="D195" s="2473" t="str">
        <f ca="1">'A &amp; L INFO'!S41</f>
        <v/>
      </c>
      <c r="E195" s="2474"/>
      <c r="F195" s="2474"/>
      <c r="G195" s="2474"/>
      <c r="H195" s="2474"/>
      <c r="I195" s="2474"/>
      <c r="J195" s="2475"/>
      <c r="K195" s="648"/>
      <c r="L195" s="647"/>
      <c r="M195" s="647"/>
      <c r="N195" s="647"/>
      <c r="O195" s="641"/>
      <c r="P195" s="641"/>
      <c r="Q195" s="641"/>
      <c r="R195" s="641"/>
      <c r="S195" s="608"/>
      <c r="T195" s="2301" t="str">
        <f ca="1">IF('A &amp; L INFO'!V41&lt;&gt;"",'A &amp; L INFO'!V41,"")</f>
        <v/>
      </c>
      <c r="U195" s="2302"/>
      <c r="V195" s="2302"/>
      <c r="W195" s="2303"/>
      <c r="X195" s="2310" t="str">
        <f ca="1">'A &amp; L INFO'!U41</f>
        <v/>
      </c>
      <c r="Y195" s="2311"/>
      <c r="Z195" s="2311"/>
      <c r="AA195" s="2311"/>
      <c r="AB195" s="2312"/>
    </row>
    <row r="196" spans="1:28" s="641" customFormat="1" ht="13.9" customHeight="1">
      <c r="A196" s="646">
        <v>3</v>
      </c>
      <c r="B196" s="2500" t="str">
        <f ca="1">'A &amp; L INFO'!R42</f>
        <v/>
      </c>
      <c r="C196" s="2501"/>
      <c r="D196" s="2473" t="str">
        <f ca="1">'A &amp; L INFO'!S42</f>
        <v/>
      </c>
      <c r="E196" s="2474"/>
      <c r="F196" s="2474"/>
      <c r="G196" s="2474"/>
      <c r="H196" s="2474"/>
      <c r="I196" s="2474"/>
      <c r="J196" s="2475"/>
      <c r="K196" s="648"/>
      <c r="L196" s="647"/>
      <c r="M196" s="647"/>
      <c r="N196" s="647"/>
      <c r="O196" s="641"/>
      <c r="P196" s="641"/>
      <c r="Q196" s="641"/>
      <c r="R196" s="641"/>
      <c r="S196" s="608"/>
      <c r="T196" s="2301" t="str">
        <f ca="1">IF('A &amp; L INFO'!V42&lt;&gt;"",'A &amp; L INFO'!V42,"")</f>
        <v/>
      </c>
      <c r="U196" s="2302"/>
      <c r="V196" s="2302"/>
      <c r="W196" s="2303"/>
      <c r="X196" s="2310" t="str">
        <f ca="1">IF('A &amp; L INFO'!U42&lt;&gt;"",'A &amp; L INFO'!U42,"")</f>
        <v/>
      </c>
      <c r="Y196" s="2311"/>
      <c r="Z196" s="2311"/>
      <c r="AA196" s="2311"/>
      <c r="AB196" s="2312"/>
    </row>
    <row r="197" spans="1:28" s="641" customFormat="1" ht="13.9" customHeight="1">
      <c r="A197" s="646">
        <v>4</v>
      </c>
      <c r="B197" s="2502" t="str">
        <f ca="1">'A &amp; L INFO'!R43</f>
        <v/>
      </c>
      <c r="C197" s="2503"/>
      <c r="D197" s="2504" t="str">
        <f ca="1">'A &amp; L INFO'!S43</f>
        <v/>
      </c>
      <c r="E197" s="2505"/>
      <c r="F197" s="2505"/>
      <c r="G197" s="2505"/>
      <c r="H197" s="2505"/>
      <c r="I197" s="2505"/>
      <c r="J197" s="2506"/>
      <c r="K197" s="645"/>
      <c r="L197" s="644"/>
      <c r="M197" s="644"/>
      <c r="N197" s="644"/>
      <c r="O197" s="643"/>
      <c r="P197" s="643"/>
      <c r="Q197" s="643"/>
      <c r="R197" s="643"/>
      <c r="S197" s="611"/>
      <c r="T197" s="2301" t="str">
        <f ca="1">IF('A &amp; L INFO'!V43&lt;&gt;"",'A &amp; L INFO'!V43,"")</f>
        <v/>
      </c>
      <c r="U197" s="2302"/>
      <c r="V197" s="2302"/>
      <c r="W197" s="2303"/>
      <c r="X197" s="2310" t="str">
        <f ca="1">'A &amp; L INFO'!U43</f>
        <v/>
      </c>
      <c r="Y197" s="2311"/>
      <c r="Z197" s="2311"/>
      <c r="AA197" s="2311"/>
      <c r="AB197" s="2312"/>
    </row>
    <row r="198" spans="1:28" s="641" customFormat="1" ht="13" thickBot="1">
      <c r="A198" s="699" t="s">
        <v>991</v>
      </c>
      <c r="B198" s="700"/>
      <c r="C198" s="700"/>
      <c r="D198" s="700"/>
      <c r="E198" s="700"/>
      <c r="F198" s="700"/>
      <c r="G198" s="700"/>
      <c r="H198" s="700"/>
      <c r="I198" s="700"/>
      <c r="J198" s="700"/>
      <c r="K198" s="702"/>
      <c r="L198" s="700"/>
      <c r="M198" s="700"/>
      <c r="N198" s="700"/>
      <c r="O198" s="700"/>
      <c r="P198" s="700"/>
      <c r="Q198" s="700"/>
      <c r="R198" s="700"/>
      <c r="S198" s="703"/>
      <c r="T198" s="704"/>
      <c r="U198" s="705"/>
      <c r="V198" s="705"/>
      <c r="W198" s="703"/>
      <c r="X198" s="2495">
        <f ca="1">SUM(X194:AB197)</f>
        <v>0</v>
      </c>
      <c r="Y198" s="2496"/>
      <c r="Z198" s="2496"/>
      <c r="AA198" s="2496"/>
      <c r="AB198" s="2497"/>
    </row>
    <row r="199" spans="28:28" s="641" customFormat="1">
      <c r="AB199" s="1287"/>
    </row>
  </sheetData>
  <sheetProtection password="BDAF" sheet="1" objects="1" scenarios="1" selectLockedCells="1" selectUnlockedCells="1"/>
  <mergeCells count="369">
    <mergeCell ref="C125:AA125"/>
    <mergeCell ref="X198:AB198"/>
    <mergeCell ref="X156:AB156"/>
    <mergeCell ref="X157:AB157"/>
    <mergeCell ref="B196:C196"/>
    <mergeCell ref="D196:J196"/>
    <mergeCell ref="B197:C197"/>
    <mergeCell ref="D194:J194"/>
    <mergeCell ref="D197:J197"/>
    <mergeCell ref="X192:AB192"/>
    <mergeCell ref="X193:AB193"/>
    <mergeCell ref="X194:AB194"/>
    <mergeCell ref="X195:AB195"/>
    <mergeCell ref="X196:AB196"/>
    <mergeCell ref="X197:AB197"/>
    <mergeCell ref="B195:C195"/>
    <mergeCell ref="D195:J195"/>
    <mergeCell ref="B187:C187"/>
    <mergeCell ref="D187:N187"/>
    <mergeCell ref="S187:W187"/>
    <mergeCell ref="B193:C193"/>
    <mergeCell ref="D193:J193"/>
    <mergeCell ref="K193:S193"/>
    <mergeCell ref="T193:W193"/>
    <mergeCell ref="B194:C194"/>
    <mergeCell ref="B183:C183"/>
    <mergeCell ref="D183:N183"/>
    <mergeCell ref="S183:W183"/>
    <mergeCell ref="S188:W188"/>
    <mergeCell ref="B192:C192"/>
    <mergeCell ref="D192:J192"/>
    <mergeCell ref="K192:S192"/>
    <mergeCell ref="T192:W192"/>
    <mergeCell ref="B184:C184"/>
    <mergeCell ref="D184:N184"/>
    <mergeCell ref="S184:W184"/>
    <mergeCell ref="B185:C185"/>
    <mergeCell ref="D185:N185"/>
    <mergeCell ref="S185:W185"/>
    <mergeCell ref="B186:C186"/>
    <mergeCell ref="D186:N186"/>
    <mergeCell ref="S186:W186"/>
    <mergeCell ref="O183:R183"/>
    <mergeCell ref="O184:R184"/>
    <mergeCell ref="O185:R185"/>
    <mergeCell ref="O186:R186"/>
    <mergeCell ref="O187:R187"/>
    <mergeCell ref="T194:W194"/>
    <mergeCell ref="B180:C180"/>
    <mergeCell ref="D180:N180"/>
    <mergeCell ref="S180:W180"/>
    <mergeCell ref="B181:C181"/>
    <mergeCell ref="D181:N181"/>
    <mergeCell ref="S181:W181"/>
    <mergeCell ref="B182:C182"/>
    <mergeCell ref="D182:N182"/>
    <mergeCell ref="S182:W182"/>
    <mergeCell ref="O180:R180"/>
    <mergeCell ref="O181:R181"/>
    <mergeCell ref="O182:R182"/>
    <mergeCell ref="B177:C177"/>
    <mergeCell ref="D177:N177"/>
    <mergeCell ref="S177:W177"/>
    <mergeCell ref="B178:C178"/>
    <mergeCell ref="D178:N178"/>
    <mergeCell ref="S178:W178"/>
    <mergeCell ref="B179:C179"/>
    <mergeCell ref="D179:N179"/>
    <mergeCell ref="S179:W179"/>
    <mergeCell ref="O177:R177"/>
    <mergeCell ref="O178:R178"/>
    <mergeCell ref="O179:R179"/>
    <mergeCell ref="B174:C174"/>
    <mergeCell ref="D174:N174"/>
    <mergeCell ref="S174:W174"/>
    <mergeCell ref="B175:C175"/>
    <mergeCell ref="D175:N175"/>
    <mergeCell ref="S175:W175"/>
    <mergeCell ref="B176:C176"/>
    <mergeCell ref="D176:N176"/>
    <mergeCell ref="S176:W176"/>
    <mergeCell ref="O174:R174"/>
    <mergeCell ref="O175:R175"/>
    <mergeCell ref="O176:R176"/>
    <mergeCell ref="B171:C171"/>
    <mergeCell ref="D171:N171"/>
    <mergeCell ref="S171:W171"/>
    <mergeCell ref="B172:C172"/>
    <mergeCell ref="D172:N172"/>
    <mergeCell ref="S172:W172"/>
    <mergeCell ref="B173:C173"/>
    <mergeCell ref="D173:N173"/>
    <mergeCell ref="S173:W173"/>
    <mergeCell ref="O171:R171"/>
    <mergeCell ref="O172:R172"/>
    <mergeCell ref="O173:R173"/>
    <mergeCell ref="B168:C168"/>
    <mergeCell ref="D168:N168"/>
    <mergeCell ref="S168:W168"/>
    <mergeCell ref="B169:C169"/>
    <mergeCell ref="D169:N169"/>
    <mergeCell ref="S169:W169"/>
    <mergeCell ref="B170:C170"/>
    <mergeCell ref="D170:N170"/>
    <mergeCell ref="S170:W170"/>
    <mergeCell ref="O168:R168"/>
    <mergeCell ref="O169:R169"/>
    <mergeCell ref="O170:R170"/>
    <mergeCell ref="B165:C165"/>
    <mergeCell ref="D165:N165"/>
    <mergeCell ref="S165:W165"/>
    <mergeCell ref="B166:C166"/>
    <mergeCell ref="D166:N166"/>
    <mergeCell ref="S166:W166"/>
    <mergeCell ref="B167:C167"/>
    <mergeCell ref="D167:N167"/>
    <mergeCell ref="S167:W167"/>
    <mergeCell ref="O167:R167"/>
    <mergeCell ref="B162:C162"/>
    <mergeCell ref="D162:N162"/>
    <mergeCell ref="S162:W162"/>
    <mergeCell ref="B163:C163"/>
    <mergeCell ref="D163:N163"/>
    <mergeCell ref="S163:W163"/>
    <mergeCell ref="B164:C164"/>
    <mergeCell ref="D164:N164"/>
    <mergeCell ref="S164:W164"/>
    <mergeCell ref="B159:C159"/>
    <mergeCell ref="D159:N159"/>
    <mergeCell ref="B160:C160"/>
    <mergeCell ref="D160:N160"/>
    <mergeCell ref="B161:C161"/>
    <mergeCell ref="D161:N161"/>
    <mergeCell ref="G139:L139"/>
    <mergeCell ref="M139:P139"/>
    <mergeCell ref="G140:L140"/>
    <mergeCell ref="G149:L149"/>
    <mergeCell ref="M149:P149"/>
    <mergeCell ref="G145:L145"/>
    <mergeCell ref="M145:P145"/>
    <mergeCell ref="G146:L146"/>
    <mergeCell ref="M146:P146"/>
    <mergeCell ref="G147:L147"/>
    <mergeCell ref="M147:P147"/>
    <mergeCell ref="M140:P140"/>
    <mergeCell ref="G141:L141"/>
    <mergeCell ref="M141:P141"/>
    <mergeCell ref="G142:L142"/>
    <mergeCell ref="M142:P142"/>
    <mergeCell ref="G143:L143"/>
    <mergeCell ref="M143:P143"/>
    <mergeCell ref="G138:L138"/>
    <mergeCell ref="M138:P138"/>
    <mergeCell ref="G148:L148"/>
    <mergeCell ref="M148:P148"/>
    <mergeCell ref="X129:AA129"/>
    <mergeCell ref="G133:L133"/>
    <mergeCell ref="M133:P133"/>
    <mergeCell ref="G134:L134"/>
    <mergeCell ref="M134:P134"/>
    <mergeCell ref="G135:L135"/>
    <mergeCell ref="M135:P135"/>
    <mergeCell ref="G144:L144"/>
    <mergeCell ref="M144:P144"/>
    <mergeCell ref="G136:L136"/>
    <mergeCell ref="G130:L130"/>
    <mergeCell ref="C127:H127"/>
    <mergeCell ref="I127:N127"/>
    <mergeCell ref="O127:R127"/>
    <mergeCell ref="S127:V127"/>
    <mergeCell ref="W127:Z127"/>
    <mergeCell ref="C122:AA122"/>
    <mergeCell ref="X110:AA110"/>
    <mergeCell ref="X113:AA113"/>
    <mergeCell ref="S160:W160"/>
    <mergeCell ref="B156:C156"/>
    <mergeCell ref="D156:N156"/>
    <mergeCell ref="O156:R156"/>
    <mergeCell ref="S156:W156"/>
    <mergeCell ref="B157:C157"/>
    <mergeCell ref="D157:N157"/>
    <mergeCell ref="O157:R157"/>
    <mergeCell ref="B158:C158"/>
    <mergeCell ref="S157:W157"/>
    <mergeCell ref="S158:W158"/>
    <mergeCell ref="S159:W159"/>
    <mergeCell ref="D158:N158"/>
    <mergeCell ref="M136:P136"/>
    <mergeCell ref="G137:L137"/>
    <mergeCell ref="M137:P137"/>
    <mergeCell ref="X115:AA115"/>
    <mergeCell ref="X117:AA117"/>
    <mergeCell ref="X120:AA120"/>
    <mergeCell ref="X90:AA90"/>
    <mergeCell ref="T95:W95"/>
    <mergeCell ref="X95:AA95"/>
    <mergeCell ref="E91:H91"/>
    <mergeCell ref="X104:AA104"/>
    <mergeCell ref="X106:AA106"/>
    <mergeCell ref="X50:AA50"/>
    <mergeCell ref="S43:V43"/>
    <mergeCell ref="S45:V45"/>
    <mergeCell ref="X47:AA47"/>
    <mergeCell ref="AE106:AH106"/>
    <mergeCell ref="X108:AA108"/>
    <mergeCell ref="T96:W96"/>
    <mergeCell ref="X96:AA96"/>
    <mergeCell ref="T97:W97"/>
    <mergeCell ref="X97:AA97"/>
    <mergeCell ref="T98:W98"/>
    <mergeCell ref="X98:AA98"/>
    <mergeCell ref="X100:AA100"/>
    <mergeCell ref="X102:AA102"/>
    <mergeCell ref="Q57:X57"/>
    <mergeCell ref="Y57:AB58"/>
    <mergeCell ref="Q58:T58"/>
    <mergeCell ref="U58:X58"/>
    <mergeCell ref="S44:V44"/>
    <mergeCell ref="U59:X59"/>
    <mergeCell ref="Y59:AB59"/>
    <mergeCell ref="Y70:AB70"/>
    <mergeCell ref="R71:V71"/>
    <mergeCell ref="S81:W81"/>
    <mergeCell ref="S39:V39"/>
    <mergeCell ref="X41:AA41"/>
    <mergeCell ref="A4:AE4"/>
    <mergeCell ref="X14:AA14"/>
    <mergeCell ref="S18:V18"/>
    <mergeCell ref="S19:V19"/>
    <mergeCell ref="S20:V20"/>
    <mergeCell ref="X21:AA21"/>
    <mergeCell ref="AE36:AI36"/>
    <mergeCell ref="S38:V38"/>
    <mergeCell ref="X24:AA24"/>
    <mergeCell ref="X25:AA25"/>
    <mergeCell ref="X26:AA26"/>
    <mergeCell ref="X29:AA29"/>
    <mergeCell ref="S32:V32"/>
    <mergeCell ref="S33:V33"/>
    <mergeCell ref="X35:AA35"/>
    <mergeCell ref="AE35:AI35"/>
    <mergeCell ref="U65:X65"/>
    <mergeCell ref="I61:L61"/>
    <mergeCell ref="M61:P61"/>
    <mergeCell ref="Q61:T61"/>
    <mergeCell ref="U61:X61"/>
    <mergeCell ref="Y61:AB68"/>
    <mergeCell ref="I62:L62"/>
    <mergeCell ref="M62:P62"/>
    <mergeCell ref="Q62:T62"/>
    <mergeCell ref="U62:X62"/>
    <mergeCell ref="I63:L63"/>
    <mergeCell ref="M63:P63"/>
    <mergeCell ref="Q63:T63"/>
    <mergeCell ref="U63:X63"/>
    <mergeCell ref="I66:L66"/>
    <mergeCell ref="M66:P66"/>
    <mergeCell ref="Q66:T66"/>
    <mergeCell ref="U66:X66"/>
    <mergeCell ref="I67:L67"/>
    <mergeCell ref="M67:P67"/>
    <mergeCell ref="Q67:T67"/>
    <mergeCell ref="U67:X67"/>
    <mergeCell ref="U68:X68"/>
    <mergeCell ref="X80:AB80"/>
    <mergeCell ref="H79:J79"/>
    <mergeCell ref="H80:J80"/>
    <mergeCell ref="H81:J81"/>
    <mergeCell ref="H82:J82"/>
    <mergeCell ref="S76:AB76"/>
    <mergeCell ref="S77:W77"/>
    <mergeCell ref="X77:AB77"/>
    <mergeCell ref="S78:W78"/>
    <mergeCell ref="X78:AB78"/>
    <mergeCell ref="X85:AB85"/>
    <mergeCell ref="F57:H58"/>
    <mergeCell ref="F59:H59"/>
    <mergeCell ref="F60:H60"/>
    <mergeCell ref="F61:H61"/>
    <mergeCell ref="F62:H62"/>
    <mergeCell ref="F63:H63"/>
    <mergeCell ref="F64:H64"/>
    <mergeCell ref="F65:H65"/>
    <mergeCell ref="F69:H69"/>
    <mergeCell ref="B83:G83"/>
    <mergeCell ref="S83:W83"/>
    <mergeCell ref="X83:AB83"/>
    <mergeCell ref="B84:G84"/>
    <mergeCell ref="S84:W84"/>
    <mergeCell ref="X84:AB84"/>
    <mergeCell ref="B81:G81"/>
    <mergeCell ref="X81:AB81"/>
    <mergeCell ref="X82:AB82"/>
    <mergeCell ref="B79:G79"/>
    <mergeCell ref="S79:W79"/>
    <mergeCell ref="X79:AB79"/>
    <mergeCell ref="B80:G80"/>
    <mergeCell ref="M59:P59"/>
    <mergeCell ref="Q59:T59"/>
    <mergeCell ref="I57:P57"/>
    <mergeCell ref="I58:L58"/>
    <mergeCell ref="M58:P58"/>
    <mergeCell ref="S85:W85"/>
    <mergeCell ref="B82:G82"/>
    <mergeCell ref="S82:W82"/>
    <mergeCell ref="B76:G77"/>
    <mergeCell ref="S80:W80"/>
    <mergeCell ref="I59:L59"/>
    <mergeCell ref="I70:L70"/>
    <mergeCell ref="M70:P70"/>
    <mergeCell ref="Q70:T70"/>
    <mergeCell ref="U70:X70"/>
    <mergeCell ref="I64:L64"/>
    <mergeCell ref="M64:P64"/>
    <mergeCell ref="Q64:T64"/>
    <mergeCell ref="U64:X64"/>
    <mergeCell ref="I65:L65"/>
    <mergeCell ref="M65:P65"/>
    <mergeCell ref="B57:E58"/>
    <mergeCell ref="B59:E59"/>
    <mergeCell ref="B61:E61"/>
    <mergeCell ref="B62:E62"/>
    <mergeCell ref="B63:E63"/>
    <mergeCell ref="B64:E64"/>
    <mergeCell ref="B65:E65"/>
    <mergeCell ref="H83:J83"/>
    <mergeCell ref="H76:J77"/>
    <mergeCell ref="K76:R76"/>
    <mergeCell ref="K77:N77"/>
    <mergeCell ref="O77:R77"/>
    <mergeCell ref="Q65:T65"/>
    <mergeCell ref="B66:E66"/>
    <mergeCell ref="F66:H66"/>
    <mergeCell ref="B67:E67"/>
    <mergeCell ref="F67:H67"/>
    <mergeCell ref="B68:E68"/>
    <mergeCell ref="F68:H68"/>
    <mergeCell ref="I68:L68"/>
    <mergeCell ref="M68:P68"/>
    <mergeCell ref="Q68:T68"/>
    <mergeCell ref="K84:N84"/>
    <mergeCell ref="K85:N85"/>
    <mergeCell ref="O78:R78"/>
    <mergeCell ref="O79:R79"/>
    <mergeCell ref="O80:R80"/>
    <mergeCell ref="O81:R81"/>
    <mergeCell ref="O82:R82"/>
    <mergeCell ref="O83:R83"/>
    <mergeCell ref="O84:R84"/>
    <mergeCell ref="O85:R85"/>
    <mergeCell ref="K78:N78"/>
    <mergeCell ref="K79:N79"/>
    <mergeCell ref="K80:N80"/>
    <mergeCell ref="K81:N81"/>
    <mergeCell ref="K82:N82"/>
    <mergeCell ref="K83:N83"/>
    <mergeCell ref="T195:W195"/>
    <mergeCell ref="T196:W196"/>
    <mergeCell ref="T197:W197"/>
    <mergeCell ref="O158:R158"/>
    <mergeCell ref="O159:R159"/>
    <mergeCell ref="O160:R160"/>
    <mergeCell ref="O161:R161"/>
    <mergeCell ref="O162:R162"/>
    <mergeCell ref="O163:R163"/>
    <mergeCell ref="O164:R164"/>
    <mergeCell ref="O165:R165"/>
    <mergeCell ref="O166:R166"/>
    <mergeCell ref="S161:W161"/>
  </mergeCells>
  <printOptions horizontalCentered="1"/>
  <pageMargins left="0.7" right="0.7" top="0.75" bottom="0.75" header="0.3" footer="0.3"/>
  <pageSetup paperSize="5" scale="65" fitToHeight="0" orientation="portrait" r:id="rId1"/>
  <headerFooter alignWithMargins="0">
    <oddHeader>&amp;R&amp;"Arial,Bold"&amp;14C.2.1.&amp;P</oddHeader>
    <oddFooter>&amp;L&amp;8Page &amp;P of &amp;N&amp;R&amp;8Printed on &amp;D,&amp;T</oddFooter>
  </headerFooter>
  <rowBreaks count="4" manualBreakCount="4">
    <brk id="52" max="16383" man="1"/>
    <brk id="86" max="16383" man="1"/>
    <brk id="126" max="27" man="1"/>
    <brk id="150" min="8" max="27" man="1"/>
  </rowBreaks>
  <drawing r:id="rId2"/>
</worksheet>
</file>

<file path=xl/worksheets/sheet15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00b0f0"/>
    <pageSetUpPr fitToPage="1"/>
  </sheetPr>
  <dimension ref="B1:AZ489"/>
  <sheetViews>
    <sheetView showGridLines="0" zoomScaleNormal="130" zoomScaleSheetLayoutView="100" view="pageBreakPreview" workbookViewId="0">
      <selection pane="topLeft" activeCell="AB113" sqref="AB113"/>
    </sheetView>
  </sheetViews>
  <sheetFormatPr defaultRowHeight="12.5" baseColWidth="0"/>
  <cols>
    <col min="1" max="1" width="1.42578125" customWidth="1"/>
    <col min="2" max="2" width="3.7109375" customWidth="1"/>
    <col min="3" max="3" width="2.8515625" customWidth="1"/>
    <col min="4" max="4" width="1.56640625" customWidth="1"/>
    <col min="5" max="10" width="3.56640625" customWidth="1"/>
    <col min="11" max="17" width="2.8515625" customWidth="1"/>
    <col min="18" max="18" width="3.421875" customWidth="1"/>
    <col min="19" max="25" width="2.8515625" customWidth="1"/>
    <col min="26" max="26" width="3.7109375" customWidth="1"/>
    <col min="27" max="27" width="2.8515625" customWidth="1"/>
    <col min="28" max="28" width="3.28125" customWidth="1"/>
    <col min="29" max="29" width="3.8515625" customWidth="1"/>
    <col min="30" max="30" width="3.56640625" customWidth="1"/>
    <col min="31" max="31" width="3.28125" customWidth="1"/>
    <col min="32" max="32" width="3.99609375" customWidth="1"/>
    <col min="33" max="44" width="2.8515625" customWidth="1"/>
    <col min="45" max="45" width="3.7109375" customWidth="1"/>
    <col min="46" max="100" width="2.8515625" customWidth="1"/>
    <col min="101" max="194" width="3.8515625" customWidth="1"/>
  </cols>
  <sheetData>
    <row r="1" spans="2:45" ht="10" customHeight="1">
      <c r="B1" s="1"/>
      <c r="C1"/>
      <c r="D1"/>
      <c r="E1"/>
      <c r="F1"/>
      <c r="AS1" s="1"/>
    </row>
    <row r="2" spans="2:45" ht="20.15" customHeight="1">
      <c r="B2" s="1772" t="s">
        <v>38</v>
      </c>
      <c r="C2" s="61"/>
      <c r="D2" s="1774" t="s">
        <v>15</v>
      </c>
      <c r="E2" s="1774"/>
      <c r="F2" s="1774"/>
      <c r="G2" s="1774"/>
      <c r="H2" s="1774"/>
      <c r="I2" s="1774"/>
      <c r="J2" s="1774"/>
      <c r="K2" s="1774"/>
      <c r="L2" s="1774"/>
      <c r="M2" s="83"/>
      <c r="N2" s="1775" t="s">
        <v>78</v>
      </c>
      <c r="O2" s="1776"/>
      <c r="P2" s="1776"/>
      <c r="Q2" s="1776"/>
      <c r="R2" s="1776"/>
      <c r="S2" s="1776"/>
      <c r="T2" s="1776"/>
      <c r="U2" s="1776"/>
      <c r="V2" s="1776"/>
      <c r="W2" s="1776"/>
      <c r="X2" s="1776"/>
      <c r="Y2" s="1776"/>
      <c r="Z2" s="1776"/>
      <c r="AA2" s="1776"/>
      <c r="AB2" s="1776"/>
      <c r="AC2" s="1776"/>
      <c r="AD2" s="1776"/>
      <c r="AE2" s="1776"/>
      <c r="AF2" s="1776"/>
      <c r="AG2" s="1776"/>
      <c r="AH2" s="1776"/>
      <c r="AI2" s="1777"/>
      <c r="AJ2" s="1795" t="s">
        <v>29</v>
      </c>
      <c r="AK2" s="38"/>
      <c r="AM2" s="27">
        <v>2007</v>
      </c>
      <c r="AN2" s="1797"/>
      <c r="AO2" s="1797"/>
      <c r="AP2" s="1797"/>
      <c r="AQ2" s="1797"/>
      <c r="AR2" s="1797"/>
      <c r="AS2" s="27"/>
    </row>
    <row r="3" spans="2:45" ht="20.15" customHeight="1" thickBot="1">
      <c r="B3" s="1772"/>
      <c r="C3" s="61"/>
      <c r="D3" s="1774"/>
      <c r="E3" s="1774"/>
      <c r="F3" s="1774"/>
      <c r="G3" s="1774"/>
      <c r="H3" s="1774"/>
      <c r="I3" s="1774"/>
      <c r="J3" s="1774"/>
      <c r="K3" s="1774"/>
      <c r="L3" s="1774"/>
      <c r="M3" s="83"/>
      <c r="N3" s="1778" t="s">
        <v>101</v>
      </c>
      <c r="O3" s="1779"/>
      <c r="P3" s="1779"/>
      <c r="Q3" s="1779"/>
      <c r="R3" s="1779"/>
      <c r="S3" s="1779"/>
      <c r="T3" s="1779"/>
      <c r="U3" s="1779"/>
      <c r="V3" s="1779"/>
      <c r="W3" s="1779"/>
      <c r="X3" s="1779"/>
      <c r="Y3" s="1779"/>
      <c r="Z3" s="1779"/>
      <c r="AA3" s="1779"/>
      <c r="AB3" s="1779"/>
      <c r="AC3" s="1779"/>
      <c r="AD3" s="1779"/>
      <c r="AE3" s="1779"/>
      <c r="AF3" s="1779"/>
      <c r="AG3" s="1779"/>
      <c r="AH3" s="1779"/>
      <c r="AI3" s="1780"/>
      <c r="AJ3" s="1795"/>
      <c r="AK3" s="1798">
        <f>'1770S JP'!AK3:AL4</f>
        <v>0</v>
      </c>
      <c r="AL3" s="1950"/>
      <c r="AM3" s="1798">
        <f>'1770S JP'!AM3:AN4</f>
        <v>0</v>
      </c>
      <c r="AN3" s="1950"/>
      <c r="AO3" s="1798">
        <f>'1770S JP'!AO3:AP4</f>
        <v>0</v>
      </c>
      <c r="AP3" s="1950"/>
      <c r="AQ3" s="1798">
        <f>'1770S JP'!AQ3:AR4</f>
        <v>0</v>
      </c>
      <c r="AR3" s="1950"/>
      <c r="AS3" s="27"/>
    </row>
    <row r="4" spans="2:45" ht="14.25" customHeight="1">
      <c r="B4" s="1772"/>
      <c r="D4" s="1774"/>
      <c r="E4" s="1774"/>
      <c r="F4" s="1774"/>
      <c r="G4" s="1774"/>
      <c r="H4" s="1774"/>
      <c r="I4" s="1774"/>
      <c r="J4" s="1774"/>
      <c r="K4" s="1774"/>
      <c r="L4" s="1774"/>
      <c r="M4" s="83"/>
      <c r="N4" s="1282" t="s">
        <v>1392</v>
      </c>
      <c r="O4"/>
      <c r="P4"/>
      <c r="Q4" s="15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 s="1795"/>
      <c r="AK4" s="1950"/>
      <c r="AL4" s="1950"/>
      <c r="AM4" s="1950"/>
      <c r="AN4" s="1950"/>
      <c r="AO4" s="1950"/>
      <c r="AP4" s="1950"/>
      <c r="AQ4" s="1950"/>
      <c r="AR4" s="1950"/>
      <c r="AS4" s="27"/>
    </row>
    <row r="5" spans="2:45" ht="14.25" customHeight="1">
      <c r="B5" s="1772"/>
      <c r="C5" s="204" t="s">
        <v>454</v>
      </c>
      <c r="D5" s="204"/>
      <c r="E5" s="204"/>
      <c r="F5" s="204"/>
      <c r="G5" s="204"/>
      <c r="H5" s="204"/>
      <c r="I5" s="204"/>
      <c r="J5" s="204"/>
      <c r="K5" s="204"/>
      <c r="L5" s="204"/>
      <c r="M5" s="1781"/>
      <c r="N5" s="100" t="s">
        <v>23</v>
      </c>
      <c r="O5" s="88" t="s">
        <v>1393</v>
      </c>
      <c r="P5"/>
      <c r="Q5" s="1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s="1795"/>
      <c r="AK5"/>
      <c r="AL5"/>
      <c r="AM5"/>
      <c r="AN5"/>
      <c r="AO5"/>
      <c r="AP5"/>
      <c r="AQ5"/>
      <c r="AR5"/>
      <c r="AS5" s="27"/>
    </row>
    <row r="6" spans="2:45" ht="14.25" customHeight="1">
      <c r="B6" s="1772"/>
      <c r="C6" s="204" t="s">
        <v>31</v>
      </c>
      <c r="D6" s="204"/>
      <c r="E6" s="204"/>
      <c r="F6" s="204"/>
      <c r="G6" s="204"/>
      <c r="H6" s="204"/>
      <c r="I6" s="204"/>
      <c r="J6" s="204"/>
      <c r="K6" s="204"/>
      <c r="L6" s="204"/>
      <c r="M6" s="1781"/>
      <c r="N6" s="100" t="s">
        <v>23</v>
      </c>
      <c r="O6" s="88" t="s">
        <v>1394</v>
      </c>
      <c r="P6"/>
      <c r="Q6" s="15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s="1795"/>
      <c r="AK6" s="1337" t="str">
        <f>'1770S JP'!AK6</f>
        <v/>
      </c>
      <c r="AL6" s="107" t="s">
        <v>382</v>
      </c>
      <c r="AM6" s="202"/>
      <c r="AN6" s="202"/>
      <c r="AO6" s="203"/>
      <c r="AP6" s="203"/>
      <c r="AQ6" s="203"/>
      <c r="AR6" s="203"/>
      <c r="AS6" s="347" t="str">
        <f>IF('GENERAL INFO'!T33&gt;0,'GENERAL INFO'!T33,"")</f>
        <v/>
      </c>
    </row>
    <row r="7" spans="2:45" ht="14.25" customHeight="1" thickBot="1">
      <c r="B7" s="1773"/>
      <c r="C7" s="2"/>
      <c r="D7" s="205"/>
      <c r="E7" s="51"/>
      <c r="F7" s="51"/>
      <c r="G7" s="51"/>
      <c r="H7" s="51"/>
      <c r="I7" s="51"/>
      <c r="J7" s="51"/>
      <c r="K7" s="51"/>
      <c r="L7" s="51"/>
      <c r="M7" s="60"/>
      <c r="N7" s="101" t="s">
        <v>23</v>
      </c>
      <c r="O7" s="102" t="s">
        <v>174</v>
      </c>
      <c r="P7" s="2"/>
      <c r="Q7" s="3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1796"/>
      <c r="AK7" s="2"/>
      <c r="AL7" s="2"/>
      <c r="AM7" s="29"/>
      <c r="AN7" s="29"/>
      <c r="AO7" s="29"/>
      <c r="AP7" s="29"/>
      <c r="AQ7" s="29"/>
      <c r="AR7" s="29"/>
      <c r="AS7" s="27"/>
    </row>
    <row r="8" spans="6:45" ht="2.15" customHeight="1">
      <c r="F8" s="30"/>
      <c r="G8" s="27"/>
      <c r="H8" s="27"/>
      <c r="I8" s="27"/>
      <c r="J8" s="27"/>
      <c r="K8" s="27"/>
      <c r="L8" s="27"/>
      <c r="M8" s="28"/>
      <c r="N8" s="26"/>
      <c r="O8"/>
      <c r="P8"/>
      <c r="Q8" s="15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 s="32"/>
      <c r="AL8" s="30"/>
      <c r="AM8" s="27"/>
      <c r="AN8" s="27"/>
      <c r="AO8" s="27"/>
      <c r="AP8" s="27"/>
      <c r="AQ8" s="27"/>
      <c r="AR8" s="27"/>
      <c r="AS8" s="27"/>
    </row>
    <row r="9" spans="2:52" ht="14.25" customHeight="1">
      <c r="B9" s="69"/>
      <c r="C9" s="191" t="s">
        <v>383</v>
      </c>
      <c r="D9" s="191"/>
      <c r="E9" s="191"/>
      <c r="F9" s="191"/>
      <c r="G9" s="2788" t="s">
        <v>23</v>
      </c>
      <c r="H9" s="302" t="s">
        <v>35</v>
      </c>
      <c r="I9" s="119"/>
      <c r="J9" s="119"/>
      <c r="K9" s="119"/>
      <c r="L9" s="119"/>
      <c r="M9" s="119"/>
      <c r="N9" s="119"/>
      <c r="O9" s="119"/>
      <c r="P9" s="119"/>
      <c r="Q9" s="119"/>
      <c r="R9" s="119"/>
      <c r="S9" s="103" t="s">
        <v>23</v>
      </c>
      <c r="T9" s="120" t="s">
        <v>36</v>
      </c>
      <c r="U9" s="120"/>
      <c r="V9" s="120"/>
      <c r="W9" s="120"/>
      <c r="X9" s="120"/>
      <c r="Y9" s="120"/>
      <c r="Z9" s="120"/>
      <c r="AA9" s="120"/>
      <c r="AB9" s="120"/>
      <c r="AC9" s="120"/>
      <c r="AD9" s="120"/>
      <c r="AE9" s="104" t="s">
        <v>23</v>
      </c>
      <c r="AF9" s="120" t="s">
        <v>37</v>
      </c>
      <c r="AG9" s="117"/>
      <c r="AH9" s="117"/>
      <c r="AI9" s="117"/>
      <c r="AJ9" s="117"/>
      <c r="AK9" s="37"/>
      <c r="AL9" s="120" t="s">
        <v>147</v>
      </c>
      <c r="AM9" s="120"/>
      <c r="AN9" s="120"/>
      <c r="AO9" s="120"/>
      <c r="AP9" s="120"/>
      <c r="AQ9" s="120"/>
      <c r="AR9" s="120"/>
      <c r="AS9" s="5"/>
      <c r="AY9" s="6"/>
      <c r="AZ9" s="6"/>
    </row>
    <row r="10" spans="2:45" ht="5.25" customHeight="1" thickBot="1">
      <c r="B10" s="2"/>
      <c r="C10" s="102"/>
      <c r="D10" s="102"/>
      <c r="E10" s="102"/>
      <c r="F10" s="31"/>
      <c r="G10" s="105"/>
      <c r="H10" s="105"/>
      <c r="I10" s="105"/>
      <c r="J10" s="105"/>
      <c r="K10" s="105"/>
      <c r="L10" s="105"/>
      <c r="M10" s="105"/>
      <c r="N10" s="206"/>
      <c r="O10" s="102"/>
      <c r="P10" s="102"/>
      <c r="Q10" s="106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2"/>
      <c r="AL10" s="31"/>
      <c r="AM10" s="21"/>
      <c r="AN10" s="10"/>
      <c r="AO10" s="10"/>
      <c r="AP10" s="10"/>
      <c r="AQ10" s="10"/>
      <c r="AR10" s="10"/>
      <c r="AS10" s="9"/>
    </row>
    <row r="11" spans="2:45" ht="2.25" customHeight="1">
      <c r="B11" s="2516" t="s">
        <v>0</v>
      </c>
      <c r="C11" s="2517"/>
      <c r="D11" s="90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32"/>
      <c r="AD11" s="32"/>
      <c r="AE11" s="32"/>
      <c r="AF11" s="32"/>
      <c r="AG11" s="32"/>
      <c r="AH11" s="32"/>
      <c r="AI11" s="32"/>
      <c r="AJ11" s="32"/>
      <c r="AK11" s="32"/>
      <c r="AL11" s="32"/>
      <c r="AM11" s="32"/>
      <c r="AN11" s="32"/>
      <c r="AO11" s="32"/>
      <c r="AP11" s="32"/>
      <c r="AQ11" s="32"/>
      <c r="AR11" s="13"/>
      <c r="AS11"/>
    </row>
    <row r="12" spans="2:44" ht="20.15" customHeight="1">
      <c r="B12" s="2518"/>
      <c r="C12" s="2519"/>
      <c r="D12" s="91"/>
      <c r="E12" s="4" t="s">
        <v>25</v>
      </c>
      <c r="G12" s="4"/>
      <c r="H12" s="4"/>
      <c r="I12" s="4"/>
      <c r="J12" s="4"/>
      <c r="K12" s="4" t="s">
        <v>26</v>
      </c>
      <c r="L12" s="1338" t="str">
        <f>taxId1</f>
        <v/>
      </c>
      <c r="M12" s="1338" t="str">
        <f>taxId2</f>
        <v/>
      </c>
      <c r="N12" s="814"/>
      <c r="O12" s="1338" t="str">
        <f>taxId3</f>
        <v/>
      </c>
      <c r="P12" s="1338" t="str">
        <f>taxId4</f>
        <v/>
      </c>
      <c r="Q12" s="1338" t="str">
        <f>taxId5</f>
        <v/>
      </c>
      <c r="R12" s="814"/>
      <c r="S12" s="1338" t="str">
        <f>taxId6</f>
        <v/>
      </c>
      <c r="T12" s="1338" t="str">
        <f>taxId7</f>
        <v/>
      </c>
      <c r="U12" s="1338" t="str">
        <f>taxId8</f>
        <v/>
      </c>
      <c r="V12" s="814"/>
      <c r="W12" s="1338" t="str">
        <f>taxId9</f>
        <v/>
      </c>
      <c r="X12" s="814"/>
      <c r="Y12" s="1338" t="str">
        <f>taxId10</f>
        <v/>
      </c>
      <c r="Z12" s="1338" t="str">
        <f>taxId11</f>
        <v/>
      </c>
      <c r="AA12" s="1338" t="str">
        <f>taxId12</f>
        <v/>
      </c>
      <c r="AB12" s="814"/>
      <c r="AC12" s="1338" t="str">
        <f>taxId13</f>
        <v/>
      </c>
      <c r="AD12" s="1338" t="str">
        <f>taxId14</f>
        <v/>
      </c>
      <c r="AE12" s="1338" t="str">
        <f>taxId15</f>
        <v/>
      </c>
      <c r="AF12"/>
      <c r="AG12" s="11"/>
      <c r="AH12" s="11"/>
      <c r="AI12" s="11"/>
      <c r="AJ12"/>
      <c r="AK12"/>
      <c r="AL12"/>
      <c r="AM12"/>
      <c r="AN12"/>
      <c r="AO12"/>
      <c r="AP12"/>
      <c r="AQ12"/>
      <c r="AR12" s="52"/>
    </row>
    <row r="13" spans="2:44" ht="4" customHeight="1">
      <c r="B13" s="2518"/>
      <c r="C13" s="2519"/>
      <c r="D13" s="91"/>
      <c r="E13" s="4"/>
      <c r="G13" s="4"/>
      <c r="H13" s="4"/>
      <c r="I13" s="4"/>
      <c r="J13" s="4"/>
      <c r="K13" s="4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/>
      <c r="AG13" s="11"/>
      <c r="AH13" s="11"/>
      <c r="AI13" s="11"/>
      <c r="AJ13"/>
      <c r="AK13"/>
      <c r="AL13"/>
      <c r="AM13"/>
      <c r="AN13"/>
      <c r="AO13"/>
      <c r="AP13"/>
      <c r="AQ13"/>
      <c r="AR13" s="52"/>
    </row>
    <row r="14" spans="2:45" ht="20.15" customHeight="1">
      <c r="B14" s="2518"/>
      <c r="C14" s="2519"/>
      <c r="D14" s="91"/>
      <c r="E14" s="44" t="s">
        <v>27</v>
      </c>
      <c r="F14" s="88"/>
      <c r="G14" s="44"/>
      <c r="H14" s="44"/>
      <c r="I14" s="44"/>
      <c r="J14" s="44"/>
      <c r="K14" s="44" t="s">
        <v>26</v>
      </c>
      <c r="L14" s="1328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",name01,1)),1)),1)))&gt;32,UPPER(LEFT(LEFT(name01,FIND("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",name01,1)),1)),1)),1)+1),1)),UPPER(LEFT(LEFT(name01,FIND("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",name01,1)),1)),1)),1))),UPPER(LEFT(LEFT(name01,FIND("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",name01,1)),1)),1))),UPPER(LEFT(name01,1)))</f>
        <v/>
      </c>
      <c r="M14" s="1328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",name01,1)),1)),2,1))),UPPER(MID(name01,2,1)))</f>
        <v/>
      </c>
      <c r="N14" s="1328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",name01,1)),1)),3,1))),UPPER(MID(name01,3,1)))</f>
        <v/>
      </c>
      <c r="O14" s="1328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",name01,1)),1)),4,1))),UPPER(MID(name01,4,1)))</f>
        <v/>
      </c>
      <c r="P14" s="1328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",name01,1)),1)),5,1))),UPPER(MID(name01,5,1)))</f>
        <v/>
      </c>
      <c r="Q14" s="1328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",name01,1)),1)),6,1))),UPPER(MID(name01,6,1)))</f>
        <v/>
      </c>
      <c r="R14" s="1328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",name01,1)),1)),7,1))),UPPER(MID(name01,7,1)))</f>
        <v/>
      </c>
      <c r="S14" s="1328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",name01,1)),1)),8,1))),UPPER(MID(name01,8,1)))</f>
        <v/>
      </c>
      <c r="T14" s="1328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",name01,1)),1)),9,1))),UPPER(MID(name01,9,1)))</f>
        <v/>
      </c>
      <c r="U14" s="1328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",name01,1)),1)),10,1))),UPPER(MID(name01,10,1)))</f>
        <v/>
      </c>
      <c r="V14" s="1328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",name01,1)),1)),11,1))),UPPER(MID(name01,11,1)))</f>
        <v/>
      </c>
      <c r="W14" s="1328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",name01,1)),1)),12,1))),UPPER(MID(name01,12,1)))</f>
        <v/>
      </c>
      <c r="X14" s="1328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",name01,1)),1)),13,1))),UPPER(MID(name01,13,1)))</f>
        <v/>
      </c>
      <c r="Y14" s="1328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",name01,1)),1)),14,1))),UPPER(MID(name01,14,1)))</f>
        <v/>
      </c>
      <c r="Z14" s="1328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",name01,1)),1)),15,1))),UPPER(MID(name01,15,1)))</f>
        <v/>
      </c>
      <c r="AA14" s="1328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",name01,1)),1)),16,1))),UPPER(MID(name01,16,1)))</f>
        <v/>
      </c>
      <c r="AB14" s="1328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",name01,1)),1)),17,1))),UPPER(MID(name01,17,1)))</f>
        <v/>
      </c>
      <c r="AC14" s="1328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",name01,1)),1)),18,1))),UPPER(MID(name01,18,1)))</f>
        <v/>
      </c>
      <c r="AD14" s="1328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",name01,1)),1)),1)),1)+1),19,1)),UPPER(MID(LEFT(name01,FIND("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",name01,1)),1)),19,1))),UPPER(MID(name01,19,1)))</f>
        <v/>
      </c>
      <c r="AE14" s="1328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",name01,1)),1)),20,1))),UPPER(MID(name01,20,1)))</f>
        <v/>
      </c>
      <c r="AF14" s="1328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",name01,1)),1)),21,1))),UPPER(MID(name01,21,1)))</f>
        <v/>
      </c>
      <c r="AG14" s="1328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",name01,1)),1)),22,1))),UPPER(MID(name01,22,1)))</f>
        <v/>
      </c>
      <c r="AH14" s="1328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",name01,1)),1)),1)),1)+1),23,1)),UPPER(MID(LEFT(name01,FIND("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",name01,1)),1)),1)),23,1))),UPPER(MID(LEFT(name01,FIND("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",name01,1)),1)),23,1))),UPPER(MID(name01,23,1)))</f>
        <v/>
      </c>
      <c r="AI14" s="1328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",name01,1)),1)),1)),1)+1),24,1)),UPPER(MID(LEFT(name01,FIND("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",name01,1)),1)),1)),24,1))),UPPER(MID(LEFT(name01,FIND("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",name01,1)),1)),24,1))),UPPER(MID(name01,24,1)))</f>
        <v/>
      </c>
      <c r="AJ14" s="1328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",name01,1)),1)),1)),1)+1),25,1)),UPPER(MID(LEFT(name01,FIND("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",name01,1)),1)),1)),25,1))),UPPER(MID(LEFT(name01,FIND("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",name01,1)),1)),25,1))),UPPER(MID(name01,25,1)))</f>
        <v/>
      </c>
      <c r="AK14" s="1328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",name01,1)),1)),1)),1)+1),26,1)),UPPER(MID(LEFT(name01,FIND("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",name01,1)),1)),1)),26,1))),UPPER(MID(LEFT(name01,FIND("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",name01,1)),1)),26,1))),UPPER(MID(name01,26,1)))</f>
        <v/>
      </c>
      <c r="AL14" s="1328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",name01,1)),1)),1)),1)+1),27,1)),UPPER(MID(LEFT(name01,FIND("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",name01,1)),1)),1)),27,1))),UPPER(MID(LEFT(name01,FIND("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",name01,1)),1)),27,1))),UPPER(MID(name01,27,1)))</f>
        <v/>
      </c>
      <c r="AM14" s="1328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",name01,1)),1)),1)),1)+1),28,1)),UPPER(MID(LEFT(name01,FIND("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",name01,1)),1)),1)),28,1))),UPPER(MID(LEFT(name01,FIND("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",name01,1)),1)),28,1))),UPPER(MID(name01,28,1)))</f>
        <v/>
      </c>
      <c r="AN14" s="1328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",name01,1)),1)),1)),1)+1),29,1)),UPPER(MID(LEFT(name01,FIND("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",name01,1)),1)),1)),29,1))),UPPER(MID(LEFT(name01,FIND("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",name01,1)),1)),29,1))),UPPER(MID(name01,29,1)))</f>
        <v/>
      </c>
      <c r="AO14" s="1328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",name01,1)),1)),1)),1)+1),30,1)),UPPER(MID(LEFT(name01,FIND("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",name01,1)),1)),1)),30,1))),UPPER(MID(LEFT(name01,FIND("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",name01,1)),1)),30,1))),UPPER(MID(name01,30,1)))</f>
        <v/>
      </c>
      <c r="AP14" s="1328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",name01,1)),1)),1)),1)+1),31,1)),UPPER(MID(LEFT(name01,FIND("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",name01,1)),1)),1)),31,1))),UPPER(MID(LEFT(name01,FIND("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",name01,1)),1)),31,1))),UPPER(MID(name01,31,1)))</f>
        <v/>
      </c>
      <c r="AQ14" s="1328" t="str">
        <f>IF(LEN(name01)&gt;32,IF(LEN(LEFT(name01,FIND("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",name01,1)),1)))&gt;32,IF(LEN(LEFT(name01,FIND("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",name01,1)),1)),1)))&gt;32,UPPER(MID(LEFT(name01,FIND("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"&amp;LEFT(RIGHT(RIGHT(MID(name01,FIND("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",name01,1)),1)),1)),1)&amp;" "&amp;MID(RIGHT(RIGHT(MID(name01,FIND("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",name01,1)),1)),1)),1)+1,LEN(RIGHT(RIGHT(MID(name01,FIND("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",name01,1)),1)),1)))-FIND(" ",RIGHT(RIGHT(MID(name01,FIND("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",name01,1)),1)),1)),1)+1),32,1)),UPPER(MID(LEFT(name01,FIND(" ",name01,1))&amp;LEFT(MID(name01,FIND(" ",name01,1)+1,LEN(name01)-FIND(" ",name01,1)),1)&amp;" "&amp;LEFT(RIGHT(MID(name01,FIND(" ",name01,1)+1,LEN(name01)-FIND(" ",name01,1)),LEN(MID(name01,FIND(" ",name01,1)+1,LEN(name01)-FIND(" ",name01,1)))-FIND(" ",MID(name01,FIND(" ",name01,1)+1,LEN(name01)-FIND(" ",name01,1)),1)),1)&amp;" "&amp;RIGHT(RIGHT(MID(name01,FIND(" ",name01,1)+1,LEN(name01)-FIND(" ",name01,1)),LEN(MID(name01,FIND(" ",name01,1)+1,LEN(name01)-FIND(" ",name01,1)))-FIND(" ",MID(name01,FIND(" ",name01,1)+1,LEN(name01)-FIND(" ",name01,1)),1)),LEN(RIGHT(MID(name01,FIND(" ",name01,1)+1,LEN(name01)-FIND(" ",name01,1)),LEN(MID(name01,FIND(" ",name01,1)+1,LEN(name01)-FIND(" ",name01,1)))-FIND(" ",MID(name01,FIND(" ",name01,1)+1,LEN(name01)-FIND(" ",name01,1)),1)))-FIND(" ",RIGHT(MID(name01,FIND(" ",name01,1)+1,LEN(name01)-FIND(" ",name01,1)),LEN(MID(name01,FIND(" ",name01,1)+1,LEN(name01)-FIND(" ",name01,1)))-FIND(" ",MID(name01,FIND(" ",name01,1)+1,LEN(name01)-FIND(" ",name01,1)),1)),1)),32,1))),UPPER(MID(LEFT(name01,FIND(" ",name01,1))&amp;LEFT(MID(name01,FIND(" ",name01,1)+1,LEN(name01)-FIND(" ",name01,1)),1)&amp;" "&amp;RIGHT(MID(name01,FIND(" ",name01,1)+1,LEN(name01)-FIND(" ",name01,1)),LEN(MID(name01,FIND(" ",name01,1)+1,LEN(name01)-FIND(" ",name01,1)))-FIND(" ",MID(name01,FIND(" ",name01,1)+1,LEN(name01)-FIND(" ",name01,1)),1)),32,1))),UPPER(MID(name01,32,1)))</f>
        <v/>
      </c>
      <c r="AR14" s="52"/>
      <c r="AS14"/>
    </row>
    <row r="15" spans="2:44" ht="4" customHeight="1">
      <c r="B15" s="2518"/>
      <c r="C15" s="2519"/>
      <c r="D15" s="91"/>
      <c r="E15" s="44"/>
      <c r="F15" s="88"/>
      <c r="G15" s="44"/>
      <c r="H15" s="44"/>
      <c r="I15" s="44"/>
      <c r="J15" s="44"/>
      <c r="K15" s="44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/>
      <c r="AG15" s="11"/>
      <c r="AH15" s="11"/>
      <c r="AI15" s="11"/>
      <c r="AJ15"/>
      <c r="AK15"/>
      <c r="AL15"/>
      <c r="AM15"/>
      <c r="AN15"/>
      <c r="AO15"/>
      <c r="AP15"/>
      <c r="AQ15"/>
      <c r="AR15" s="52"/>
    </row>
    <row r="16" spans="2:44" ht="20.15" customHeight="1">
      <c r="B16" s="2518"/>
      <c r="C16" s="2519"/>
      <c r="D16" s="91"/>
      <c r="E16" s="44" t="s">
        <v>28</v>
      </c>
      <c r="F16" s="88"/>
      <c r="G16" s="44"/>
      <c r="H16" s="44"/>
      <c r="I16" s="44"/>
      <c r="J16" s="44"/>
      <c r="K16" s="44" t="s">
        <v>26</v>
      </c>
      <c r="L16" s="1328" t="str">
        <f>UPPER(LEFT(_Occ1,1))</f>
        <v/>
      </c>
      <c r="M16" s="1328" t="str">
        <f>UPPER(MID(_Occ1,2,1))</f>
        <v/>
      </c>
      <c r="N16" s="1328" t="str">
        <f>UPPER(MID(_Occ1,3,1))</f>
        <v/>
      </c>
      <c r="O16" s="1328" t="str">
        <f>UPPER(MID(_Occ1,4,1))</f>
        <v/>
      </c>
      <c r="P16" s="1328" t="str">
        <f>UPPER(MID(_Occ1,5,1))</f>
        <v/>
      </c>
      <c r="Q16" s="1328" t="str">
        <f>UPPER(MID(_Occ1,6,1))</f>
        <v/>
      </c>
      <c r="R16" s="1328" t="str">
        <f>UPPER(MID(_Occ1,7,1))</f>
        <v/>
      </c>
      <c r="S16" s="1328" t="str">
        <f>UPPER(MID(_Occ1,8,1))</f>
        <v/>
      </c>
      <c r="T16" s="1328" t="str">
        <f>UPPER(MID(_Occ1,9,1))</f>
        <v/>
      </c>
      <c r="U16" s="1328" t="str">
        <f>UPPER(MID(_Occ1,10,1))</f>
        <v/>
      </c>
      <c r="V16" s="1328" t="str">
        <f>UPPER(MID(_Occ1,11,1))</f>
        <v/>
      </c>
      <c r="W16" s="1328" t="str">
        <f>UPPER(MID(_Occ1,12,1))</f>
        <v/>
      </c>
      <c r="X16" s="1328" t="str">
        <f>UPPER(MID(_Occ1,13,1))</f>
        <v/>
      </c>
      <c r="Y16" s="1328" t="str">
        <f>UPPER(MID(_Occ1,14,1))</f>
        <v/>
      </c>
      <c r="Z16" s="1328" t="str">
        <f>UPPER(MID(_Occ1,15,1))</f>
        <v/>
      </c>
      <c r="AA16" s="1328" t="str">
        <f>UPPER(MID(_Occ1,16,1))</f>
        <v/>
      </c>
      <c r="AB16" s="1328" t="str">
        <f>UPPER(MID(_Occ1,17,1))</f>
        <v/>
      </c>
      <c r="AC16" s="1328" t="str">
        <f>UPPER(MID(_Occ1,18,1))</f>
        <v/>
      </c>
      <c r="AD16" s="1328" t="str">
        <f>UPPER(MID(_Occ1,19,1))</f>
        <v/>
      </c>
      <c r="AE16" s="1328" t="str">
        <f>UPPER(MID(_Occ1,20,1))</f>
        <v/>
      </c>
      <c r="AF16" s="1328" t="str">
        <f>UPPER(MID(_Occ1,21,1))</f>
        <v/>
      </c>
      <c r="AG16" s="1328" t="str">
        <f>UPPER(MID(_Occ1,22,1))</f>
        <v/>
      </c>
      <c r="AH16" s="1328" t="str">
        <f>UPPER(MID(_Occ1,23,1))</f>
        <v/>
      </c>
      <c r="AI16"/>
      <c r="AJ16" s="44" t="s">
        <v>125</v>
      </c>
      <c r="AK16" s="11"/>
      <c r="AL16" s="1284">
        <f>IF('1770S JP'!AL16&lt;&gt;"",'1770S JP'!AL16,"")</f>
        <v>9</v>
      </c>
      <c r="AM16" s="1284">
        <f>IF('1770S JP'!AM16&lt;&gt;"",'1770S JP'!AM16,"")</f>
        <v>6</v>
      </c>
      <c r="AN16" s="1284">
        <f>IF('1770S JP'!AN16&lt;&gt;"",'1770S JP'!AN16,"")</f>
        <v>3</v>
      </c>
      <c r="AO16" s="1284">
        <f>IF('1770S JP'!AO16&lt;&gt;"",'1770S JP'!AO16,"")</f>
        <v>0</v>
      </c>
      <c r="AP16" s="1284">
        <f>IF('1770S JP'!AP16&lt;&gt;"",'1770S JP'!AP16,"")</f>
        <v>4</v>
      </c>
      <c r="AQ16" s="1284" t="str">
        <f>IF('1770S JP'!AQ16&lt;&gt;"",'1770S JP'!AQ16,"")</f>
        <v/>
      </c>
      <c r="AR16" s="89"/>
    </row>
    <row r="17" spans="2:44" ht="4" customHeight="1">
      <c r="B17" s="2518"/>
      <c r="C17" s="2519"/>
      <c r="D17" s="91"/>
      <c r="E17" s="44"/>
      <c r="F17" s="88"/>
      <c r="G17" s="44"/>
      <c r="H17" s="44"/>
      <c r="I17" s="44"/>
      <c r="J17" s="44"/>
      <c r="K17" s="44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/>
      <c r="AG17" s="11"/>
      <c r="AH17" s="11"/>
      <c r="AI17" s="11"/>
      <c r="AJ17"/>
      <c r="AK17"/>
      <c r="AL17"/>
      <c r="AM17"/>
      <c r="AN17"/>
      <c r="AO17"/>
      <c r="AP17"/>
      <c r="AQ17"/>
      <c r="AR17" s="52"/>
    </row>
    <row r="18" spans="2:44" ht="19.9" customHeight="1">
      <c r="B18" s="2518"/>
      <c r="C18" s="2519"/>
      <c r="D18" s="91"/>
      <c r="E18" s="44" t="s">
        <v>162</v>
      </c>
      <c r="F18" s="88"/>
      <c r="G18" s="44"/>
      <c r="H18" s="44"/>
      <c r="I18" s="44"/>
      <c r="J18" s="44"/>
      <c r="K18" s="44" t="s">
        <v>26</v>
      </c>
      <c r="L18" s="1324" t="str">
        <f>LEFT(phone01,1)</f>
        <v/>
      </c>
      <c r="M18" s="1324" t="str">
        <f>MID(phone01,2,1)</f>
        <v/>
      </c>
      <c r="N18" s="1324" t="str">
        <f>MID(phone01,3,1)</f>
        <v/>
      </c>
      <c r="O18" s="1324" t="str">
        <f>MID(phone01,4,1)</f>
        <v/>
      </c>
      <c r="P18" s="252" t="s">
        <v>30</v>
      </c>
      <c r="Q18" s="1324" t="str">
        <f>LEFT(phone02,1)</f>
        <v/>
      </c>
      <c r="R18" s="1324" t="str">
        <f>MID(phone02,2,1)</f>
        <v/>
      </c>
      <c r="S18" s="1324" t="str">
        <f>MID(phone02,3,1)</f>
        <v/>
      </c>
      <c r="T18" s="1324" t="str">
        <f>MID(phone02,4,1)</f>
        <v/>
      </c>
      <c r="U18" s="1324" t="str">
        <f>MID(phone02,5,1)</f>
        <v/>
      </c>
      <c r="V18" s="1324" t="str">
        <f>MID(phone02,6,1)</f>
        <v/>
      </c>
      <c r="W18" s="1324" t="str">
        <f>MID(phone02,7,1)</f>
        <v/>
      </c>
      <c r="X18" s="1324" t="str">
        <f>MID(phone02,8,1)</f>
        <v/>
      </c>
      <c r="Y18" s="245"/>
      <c r="Z18" s="249"/>
      <c r="AA18" s="250" t="s">
        <v>163</v>
      </c>
      <c r="AB18" s="245"/>
      <c r="AC18" s="249"/>
      <c r="AD18" s="251" t="s">
        <v>26</v>
      </c>
      <c r="AE18" s="1324" t="str">
        <f>LEFT(faxNo01,1)</f>
        <v/>
      </c>
      <c r="AF18" s="1324" t="str">
        <f>MID(faxNo01,2,1)</f>
        <v/>
      </c>
      <c r="AG18" s="1324" t="str">
        <f>MID(faxNo01,3,1)</f>
        <v/>
      </c>
      <c r="AH18" s="1324" t="str">
        <f>MID(faxNo01,4,1)</f>
        <v/>
      </c>
      <c r="AI18" s="252" t="s">
        <v>30</v>
      </c>
      <c r="AJ18" s="1324" t="str">
        <f>LEFT(faxNo02,1)</f>
        <v/>
      </c>
      <c r="AK18" s="1324" t="str">
        <f>MID(faxNo02,2,1)</f>
        <v/>
      </c>
      <c r="AL18" s="1324" t="str">
        <f>MID(faxNo02,3,1)</f>
        <v/>
      </c>
      <c r="AM18" s="1324" t="str">
        <f>MID(faxNo02,4,1)</f>
        <v/>
      </c>
      <c r="AN18" s="1324" t="str">
        <f>MID(faxNo02,5,1)</f>
        <v/>
      </c>
      <c r="AO18" s="1324" t="str">
        <f>MID(faxNo02,6,1)</f>
        <v/>
      </c>
      <c r="AP18" s="1324" t="str">
        <f>MID(faxNo02,7,1)</f>
        <v/>
      </c>
      <c r="AQ18" s="1324" t="str">
        <f>MID(faxNo02,8,1)</f>
        <v/>
      </c>
      <c r="AR18" s="47"/>
    </row>
    <row r="19" spans="2:44" ht="4" customHeight="1">
      <c r="B19" s="2518"/>
      <c r="C19" s="2519"/>
      <c r="D19" s="91"/>
      <c r="E19" s="44"/>
      <c r="F19" s="88"/>
      <c r="G19" s="44"/>
      <c r="H19" s="44"/>
      <c r="I19" s="44"/>
      <c r="J19" s="44"/>
      <c r="K19" s="44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/>
      <c r="AG19" s="11"/>
      <c r="AH19" s="11"/>
      <c r="AI19" s="11"/>
      <c r="AJ19"/>
      <c r="AK19"/>
      <c r="AL19"/>
      <c r="AM19"/>
      <c r="AN19"/>
      <c r="AO19"/>
      <c r="AP19"/>
      <c r="AQ19"/>
      <c r="AR19" s="52"/>
    </row>
    <row r="20" spans="2:44" ht="19.9" customHeight="1">
      <c r="B20" s="2518"/>
      <c r="C20" s="2519"/>
      <c r="D20" s="91"/>
      <c r="E20" s="2522" t="s">
        <v>874</v>
      </c>
      <c r="F20" s="2522"/>
      <c r="G20" s="2522"/>
      <c r="H20" s="2522"/>
      <c r="I20" s="2522"/>
      <c r="J20" s="2522"/>
      <c r="K20" s="44" t="s">
        <v>26</v>
      </c>
      <c r="L20" s="1328" t="str">
        <f>+'1770S JP'!L20</f>
        <v/>
      </c>
      <c r="M20" s="62" t="s">
        <v>875</v>
      </c>
      <c r="N20" s="11"/>
      <c r="O20" s="1328" t="str">
        <f>+'1770S JP'!P20</f>
        <v/>
      </c>
      <c r="P20" s="62" t="s">
        <v>876</v>
      </c>
      <c r="Q20" s="11"/>
      <c r="R20" s="1328" t="str">
        <f>+'1770S JP'!U20</f>
        <v/>
      </c>
      <c r="S20" s="62" t="s">
        <v>877</v>
      </c>
      <c r="T20" s="11"/>
      <c r="U20" s="1328" t="str">
        <f>+'1770S JP'!Z20</f>
        <v/>
      </c>
      <c r="V20" s="62" t="s">
        <v>878</v>
      </c>
      <c r="W20" s="11"/>
      <c r="X20" s="11"/>
      <c r="Y20" s="11"/>
      <c r="Z20" s="11"/>
      <c r="AA20" s="11"/>
      <c r="AB20" s="11"/>
      <c r="AC20" s="11"/>
      <c r="AD20" s="11"/>
      <c r="AE20" s="11"/>
      <c r="AF20"/>
      <c r="AG20" s="11"/>
      <c r="AH20" s="11"/>
      <c r="AI20" s="11"/>
      <c r="AJ20"/>
      <c r="AK20"/>
      <c r="AL20"/>
      <c r="AM20"/>
      <c r="AN20"/>
      <c r="AO20"/>
      <c r="AP20"/>
      <c r="AQ20"/>
      <c r="AR20" s="52"/>
    </row>
    <row r="21" spans="2:44" ht="4" customHeight="1">
      <c r="B21" s="2518"/>
      <c r="C21" s="2519"/>
      <c r="D21" s="91"/>
      <c r="E21" s="44"/>
      <c r="F21" s="88"/>
      <c r="G21" s="44"/>
      <c r="H21" s="44"/>
      <c r="I21" s="44"/>
      <c r="J21" s="44"/>
      <c r="K21" s="44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/>
      <c r="AG21" s="11"/>
      <c r="AH21" s="11"/>
      <c r="AI21" s="11"/>
      <c r="AJ21"/>
      <c r="AK21"/>
      <c r="AL21"/>
      <c r="AM21"/>
      <c r="AN21"/>
      <c r="AO21"/>
      <c r="AP21"/>
      <c r="AQ21"/>
      <c r="AR21" s="52"/>
    </row>
    <row r="22" spans="2:44" ht="20.15" customHeight="1">
      <c r="B22" s="2518"/>
      <c r="C22" s="2519"/>
      <c r="D22" s="91"/>
      <c r="E22" s="44" t="s">
        <v>879</v>
      </c>
      <c r="F22" s="88"/>
      <c r="G22" s="44"/>
      <c r="H22" s="44"/>
      <c r="I22" s="44"/>
      <c r="J22" s="44"/>
      <c r="K22" s="44" t="s">
        <v>26</v>
      </c>
      <c r="L22" s="1324" t="str">
        <f>LEFT(spouseNpwp,1)</f>
        <v/>
      </c>
      <c r="M22" s="1324" t="str">
        <f>MID(spouseNpwp,2,1)</f>
        <v/>
      </c>
      <c r="N22" s="66"/>
      <c r="O22" s="1324" t="str">
        <f>MID(spouseNpwp,3,1)</f>
        <v/>
      </c>
      <c r="P22" s="1324" t="str">
        <f>MID(spouseNpwp,4,1)</f>
        <v/>
      </c>
      <c r="Q22" s="1324" t="str">
        <f>MID(spouseNpwp,5,1)</f>
        <v/>
      </c>
      <c r="R22" s="66"/>
      <c r="S22" s="1324" t="str">
        <f>MID(spouseNpwp,6,1)</f>
        <v/>
      </c>
      <c r="T22" s="1324" t="str">
        <f>MID(spouseNpwp,7,1)</f>
        <v/>
      </c>
      <c r="U22" s="1324" t="str">
        <f>MID(spouseNpwp,8,1)</f>
        <v/>
      </c>
      <c r="V22" s="66"/>
      <c r="W22" s="1324" t="str">
        <f>MID(spouseNpwp,9,1)</f>
        <v/>
      </c>
      <c r="X22" s="66"/>
      <c r="Y22" s="1324" t="str">
        <f>MID(spouseNpwp,10,1)</f>
        <v/>
      </c>
      <c r="Z22" s="1324" t="str">
        <f>MID(spouseNpwp,11,1)</f>
        <v/>
      </c>
      <c r="AA22" s="1324" t="str">
        <f>MID(spouseNpwp,12,1)</f>
        <v/>
      </c>
      <c r="AB22" s="66"/>
      <c r="AC22" s="1324" t="str">
        <f>MID(spouseNpwp,13,1)</f>
        <v/>
      </c>
      <c r="AD22" s="1324" t="str">
        <f>MID(spouseNpwp,14,1)</f>
        <v/>
      </c>
      <c r="AE22" s="1324" t="str">
        <f>MID(spouseNpwp,15,1)</f>
        <v/>
      </c>
      <c r="AF22"/>
      <c r="AG22" s="11"/>
      <c r="AH22" s="11"/>
      <c r="AI22" s="11"/>
      <c r="AJ22"/>
      <c r="AK22"/>
      <c r="AL22"/>
      <c r="AM22"/>
      <c r="AN22"/>
      <c r="AO22"/>
      <c r="AP22"/>
      <c r="AQ22"/>
      <c r="AR22" s="52"/>
    </row>
    <row r="23" spans="2:44" ht="3" customHeight="1" thickBot="1">
      <c r="B23" s="2518"/>
      <c r="C23" s="2519"/>
      <c r="D23" s="91"/>
      <c r="E23" s="44"/>
      <c r="F23" s="88"/>
      <c r="G23" s="44"/>
      <c r="H23" s="44"/>
      <c r="I23" s="44"/>
      <c r="J23" s="44"/>
      <c r="K23" s="44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/>
      <c r="AG23" s="11"/>
      <c r="AH23" s="11"/>
      <c r="AI23" s="11"/>
      <c r="AJ23"/>
      <c r="AK23"/>
      <c r="AL23"/>
      <c r="AM23"/>
      <c r="AN23"/>
      <c r="AO23"/>
      <c r="AP23"/>
      <c r="AQ23"/>
      <c r="AR23" s="52"/>
    </row>
    <row r="24" spans="2:44" ht="28.15" customHeight="1">
      <c r="B24" s="2518"/>
      <c r="C24" s="2519"/>
      <c r="D24" s="2523" t="s">
        <v>880</v>
      </c>
      <c r="E24" s="2524"/>
      <c r="F24" s="2524"/>
      <c r="G24" s="2524"/>
      <c r="H24" s="2524"/>
      <c r="I24" s="2524"/>
      <c r="J24" s="2524"/>
      <c r="K24" s="2524"/>
      <c r="L24" s="2524"/>
      <c r="M24" s="2524"/>
      <c r="N24" s="2524"/>
      <c r="O24" s="2524"/>
      <c r="P24" s="2524"/>
      <c r="Q24" s="2524"/>
      <c r="R24" s="2524"/>
      <c r="S24" s="2524"/>
      <c r="T24" s="2524"/>
      <c r="U24" s="2524"/>
      <c r="V24" s="2524"/>
      <c r="W24" s="2524"/>
      <c r="X24" s="2524"/>
      <c r="Y24" s="2524"/>
      <c r="Z24" s="2524"/>
      <c r="AA24" s="2524"/>
      <c r="AB24" s="2524"/>
      <c r="AC24" s="2524"/>
      <c r="AD24" s="2524"/>
      <c r="AE24" s="2524"/>
      <c r="AF24" s="2524"/>
      <c r="AG24" s="2524"/>
      <c r="AH24" s="2524"/>
      <c r="AI24" s="2524"/>
      <c r="AJ24" s="2524"/>
      <c r="AK24" s="2524"/>
      <c r="AL24" s="2524"/>
      <c r="AM24" s="2524"/>
      <c r="AN24" s="2524"/>
      <c r="AO24" s="2524"/>
      <c r="AP24" s="2524"/>
      <c r="AQ24" s="2524"/>
      <c r="AR24" s="2524"/>
    </row>
    <row r="25" spans="2:44" ht="2.5" customHeight="1" thickBot="1">
      <c r="B25" s="2520"/>
      <c r="C25" s="2521"/>
      <c r="D25" s="92"/>
      <c r="E25" s="48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3"/>
      <c r="AA25" s="23"/>
      <c r="AB25" s="23"/>
      <c r="AC25" s="23"/>
      <c r="AD25" s="23"/>
      <c r="AE25" s="23"/>
      <c r="AF25" s="2"/>
      <c r="AG25" s="23"/>
      <c r="AH25" s="23"/>
      <c r="AI25" s="23"/>
      <c r="AJ25" s="2"/>
      <c r="AK25" s="2"/>
      <c r="AL25" s="2"/>
      <c r="AM25" s="2"/>
      <c r="AN25" s="2"/>
      <c r="AO25" s="2"/>
      <c r="AP25" s="2"/>
      <c r="AQ25" s="2"/>
      <c r="AR25" s="14"/>
    </row>
    <row r="26" spans="2:45" ht="5.15" customHeight="1">
      <c r="B26" s="1783"/>
      <c r="C26" s="1783"/>
      <c r="D26" s="1783"/>
      <c r="E26" s="1783"/>
      <c r="F26" s="1783"/>
      <c r="G26" s="1783"/>
      <c r="H26" s="1783"/>
      <c r="I26" s="1783"/>
      <c r="J26" s="1783"/>
      <c r="K26" s="1783"/>
      <c r="L26" s="1783"/>
      <c r="M26" s="1783"/>
      <c r="N26" s="1783"/>
      <c r="O26" s="1783"/>
      <c r="P26" s="1783"/>
      <c r="Q26" s="1783"/>
      <c r="R26" s="1783"/>
      <c r="S26" s="1783"/>
      <c r="T26" s="1783"/>
      <c r="U26" s="1783"/>
      <c r="V26" s="1783"/>
      <c r="W26" s="1783"/>
      <c r="X26" s="1783"/>
      <c r="Y26" s="1783"/>
      <c r="Z26" s="1783"/>
      <c r="AA26" s="1783"/>
      <c r="AB26" s="1783"/>
      <c r="AC26" s="1783"/>
      <c r="AD26" s="1783"/>
      <c r="AE26" s="1783"/>
      <c r="AF26" s="1783"/>
      <c r="AG26" s="1783"/>
      <c r="AH26" s="1783"/>
      <c r="AI26" s="1783"/>
      <c r="AJ26" s="1783"/>
      <c r="AK26" s="1783"/>
      <c r="AL26" s="1783"/>
      <c r="AM26" s="1783"/>
      <c r="AN26" s="1783"/>
      <c r="AO26" s="1783"/>
      <c r="AP26" s="1783"/>
      <c r="AQ26" s="1783"/>
      <c r="AR26" s="1783"/>
      <c r="AS26" s="11"/>
    </row>
    <row r="27" spans="2:45" ht="5.15" customHeight="1">
      <c r="B27" s="1478"/>
      <c r="C27" s="1478"/>
      <c r="D27" s="1478"/>
      <c r="E27" s="1478"/>
      <c r="F27" s="1478"/>
      <c r="G27" s="1478"/>
      <c r="H27" s="1478"/>
      <c r="I27" s="1478"/>
      <c r="J27" s="1478"/>
      <c r="K27" s="1478"/>
      <c r="L27" s="1478"/>
      <c r="M27" s="1478"/>
      <c r="N27" s="1478"/>
      <c r="O27" s="1478"/>
      <c r="P27" s="1478"/>
      <c r="Q27" s="1478"/>
      <c r="R27" s="1478"/>
      <c r="S27" s="1478"/>
      <c r="T27" s="1478"/>
      <c r="U27" s="1478"/>
      <c r="V27" s="1478"/>
      <c r="W27" s="1478"/>
      <c r="X27" s="1478"/>
      <c r="Y27" s="1478"/>
      <c r="Z27" s="1478"/>
      <c r="AA27" s="1478"/>
      <c r="AB27" s="1478"/>
      <c r="AC27" s="1478"/>
      <c r="AD27" s="1478"/>
      <c r="AE27" s="1478"/>
      <c r="AF27" s="1478"/>
      <c r="AG27" s="1478"/>
      <c r="AH27" s="1478"/>
      <c r="AI27" s="1478"/>
      <c r="AJ27" s="1478"/>
      <c r="AK27" s="1478"/>
      <c r="AL27" s="1478"/>
      <c r="AM27" s="1478"/>
      <c r="AN27" s="1478"/>
      <c r="AO27" s="1478"/>
      <c r="AP27" s="1478"/>
      <c r="AQ27" s="1478"/>
      <c r="AR27" s="1478"/>
      <c r="AS27" s="11"/>
    </row>
    <row r="28" spans="2:45" s="16" customFormat="1" ht="12" customHeight="1">
      <c r="B28" s="199" t="s">
        <v>171</v>
      </c>
      <c r="C28" s="196"/>
      <c r="D28" s="196"/>
      <c r="E28" s="207"/>
      <c r="F28" s="197"/>
      <c r="G28" s="208"/>
      <c r="H28" s="208"/>
      <c r="I28" s="208"/>
      <c r="J28" s="208"/>
      <c r="K28" s="208"/>
      <c r="L28" s="208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W28" s="197"/>
      <c r="X28" s="197"/>
      <c r="Y28" s="197"/>
      <c r="Z28" s="197"/>
      <c r="AA28" s="197"/>
      <c r="AB28" s="197"/>
      <c r="AC28" s="197"/>
      <c r="AD28" s="197"/>
      <c r="AE28" s="197"/>
      <c r="AF28" s="198"/>
      <c r="AG28" s="1784" t="s">
        <v>170</v>
      </c>
      <c r="AH28" s="207"/>
      <c r="AI28" s="207"/>
      <c r="AJ28" s="207"/>
      <c r="AK28" s="207"/>
      <c r="AL28" s="207"/>
      <c r="AM28" s="207"/>
      <c r="AN28" s="207"/>
      <c r="AO28" s="207"/>
      <c r="AP28" s="207"/>
      <c r="AQ28" s="207"/>
      <c r="AR28" s="1785"/>
      <c r="AS28" s="54"/>
    </row>
    <row r="29" spans="2:45" s="16" customFormat="1" ht="2.15" customHeight="1">
      <c r="B29" s="200"/>
      <c r="C29" s="201"/>
      <c r="D29" s="201"/>
      <c r="E29" s="49"/>
      <c r="F29" s="16"/>
      <c r="G29" s="11"/>
      <c r="H29" s="11"/>
      <c r="I29" s="11"/>
      <c r="J29" s="11"/>
      <c r="K29" s="11"/>
      <c r="L29" s="11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49"/>
      <c r="AH29" s="49"/>
      <c r="AI29" s="49"/>
      <c r="AJ29" s="49"/>
      <c r="AK29" s="49"/>
      <c r="AL29" s="49"/>
      <c r="AM29" s="49"/>
      <c r="AN29" s="49"/>
      <c r="AO29" s="49"/>
      <c r="AP29" s="49"/>
      <c r="AQ29" s="49"/>
      <c r="AR29" s="209"/>
      <c r="AS29" s="54"/>
    </row>
    <row r="30" spans="2:45" s="11" customFormat="1" ht="15" customHeight="1">
      <c r="B30" s="1786" t="s">
        <v>90</v>
      </c>
      <c r="C30" s="1787"/>
      <c r="D30" s="1788"/>
      <c r="E30" s="41" t="s">
        <v>386</v>
      </c>
      <c r="F30" s="4" t="s">
        <v>99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1" t="s">
        <v>1072</v>
      </c>
      <c r="X30" s="41"/>
      <c r="Y30" s="41"/>
      <c r="Z30" s="41"/>
      <c r="AA30" s="41"/>
      <c r="AB30" s="41"/>
      <c r="AC30" s="41"/>
      <c r="AD30" s="41"/>
      <c r="AE30" s="41"/>
      <c r="AF30" s="64"/>
      <c r="AG30" s="82">
        <v>1</v>
      </c>
      <c r="AH30" s="1800">
        <f>'1770S JP'!AH29</f>
        <v>0</v>
      </c>
      <c r="AI30" s="1801"/>
      <c r="AJ30" s="1801"/>
      <c r="AK30" s="1801"/>
      <c r="AL30" s="1801"/>
      <c r="AM30" s="1801"/>
      <c r="AN30" s="1801"/>
      <c r="AO30" s="1801"/>
      <c r="AP30" s="1801"/>
      <c r="AQ30" s="1801"/>
      <c r="AR30" s="256"/>
      <c r="AS30" s="11"/>
    </row>
    <row r="31" spans="2:45" s="11" customFormat="1" ht="9" customHeight="1">
      <c r="B31" s="1789"/>
      <c r="C31" s="1790"/>
      <c r="D31" s="1791"/>
      <c r="E31" s="17"/>
      <c r="F31" s="35" t="s">
        <v>384</v>
      </c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11"/>
      <c r="Y31" s="24"/>
      <c r="Z31" s="24"/>
      <c r="AA31" s="24"/>
      <c r="AB31" s="24"/>
      <c r="AC31" s="24"/>
      <c r="AD31" s="24"/>
      <c r="AE31" s="24"/>
      <c r="AF31" s="24"/>
      <c r="AG31" s="1799"/>
      <c r="AH31" s="1802"/>
      <c r="AI31" s="1803"/>
      <c r="AJ31" s="1803"/>
      <c r="AK31" s="1803"/>
      <c r="AL31" s="1803"/>
      <c r="AM31" s="1803"/>
      <c r="AN31" s="1803"/>
      <c r="AO31" s="1803"/>
      <c r="AP31" s="1803"/>
      <c r="AQ31" s="1803"/>
      <c r="AR31" s="263"/>
      <c r="AS31" s="11"/>
    </row>
    <row r="32" spans="2:45" s="11" customFormat="1" ht="3" customHeight="1">
      <c r="B32" s="1789"/>
      <c r="C32" s="1790"/>
      <c r="D32" s="1791"/>
      <c r="E32" s="17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24"/>
      <c r="Y32" s="24"/>
      <c r="Z32" s="24"/>
      <c r="AA32" s="24"/>
      <c r="AB32" s="24"/>
      <c r="AC32" s="24"/>
      <c r="AD32" s="24"/>
      <c r="AE32" s="24"/>
      <c r="AF32" s="24"/>
      <c r="AG32" s="34"/>
      <c r="AH32" s="287"/>
      <c r="AI32" s="287"/>
      <c r="AJ32" s="287"/>
      <c r="AK32" s="287"/>
      <c r="AL32" s="287"/>
      <c r="AM32" s="287"/>
      <c r="AN32" s="287"/>
      <c r="AO32" s="287"/>
      <c r="AP32" s="287"/>
      <c r="AQ32" s="287"/>
      <c r="AR32" s="235"/>
      <c r="AS32" s="11"/>
    </row>
    <row r="33" spans="2:45" s="11" customFormat="1" ht="15" customHeight="1">
      <c r="B33" s="1789"/>
      <c r="C33" s="1790"/>
      <c r="D33" s="1791"/>
      <c r="E33" s="41" t="s">
        <v>387</v>
      </c>
      <c r="F33" s="4" t="s">
        <v>16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12" t="s">
        <v>1073</v>
      </c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1"/>
      <c r="AG33" s="82">
        <v>2</v>
      </c>
      <c r="AH33" s="1800">
        <f>'1770S JP'!AH32</f>
        <v>0</v>
      </c>
      <c r="AI33" s="1801"/>
      <c r="AJ33" s="1801"/>
      <c r="AK33" s="1801"/>
      <c r="AL33" s="1801"/>
      <c r="AM33" s="1801"/>
      <c r="AN33" s="1801"/>
      <c r="AO33" s="1801"/>
      <c r="AP33" s="1801"/>
      <c r="AQ33" s="1801"/>
      <c r="AR33" s="256"/>
      <c r="AS33" s="11"/>
    </row>
    <row r="34" spans="2:45" s="11" customFormat="1" ht="9" customHeight="1">
      <c r="B34" s="1789"/>
      <c r="C34" s="1790"/>
      <c r="D34" s="1791"/>
      <c r="E34" s="17"/>
      <c r="F34" s="35" t="s">
        <v>112</v>
      </c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24"/>
      <c r="S34" s="11"/>
      <c r="T34" s="24"/>
      <c r="U34" s="24"/>
      <c r="V34" s="24"/>
      <c r="W34" s="24"/>
      <c r="X34" s="24"/>
      <c r="Y34" s="24"/>
      <c r="Z34" s="4"/>
      <c r="AA34" s="4"/>
      <c r="AB34" s="4"/>
      <c r="AC34" s="4"/>
      <c r="AD34" s="4"/>
      <c r="AE34" s="4"/>
      <c r="AF34" s="4"/>
      <c r="AG34" s="1799"/>
      <c r="AH34" s="1802"/>
      <c r="AI34" s="1803"/>
      <c r="AJ34" s="1803"/>
      <c r="AK34" s="1803"/>
      <c r="AL34" s="1803"/>
      <c r="AM34" s="1803"/>
      <c r="AN34" s="1803"/>
      <c r="AO34" s="1803"/>
      <c r="AP34" s="1803"/>
      <c r="AQ34" s="1803"/>
      <c r="AR34" s="263"/>
      <c r="AS34" s="11"/>
    </row>
    <row r="35" spans="2:45" s="11" customFormat="1" ht="3" customHeight="1">
      <c r="B35" s="1789"/>
      <c r="C35" s="1790"/>
      <c r="D35" s="1791"/>
      <c r="E35" s="17"/>
      <c r="F35" s="35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1"/>
      <c r="AA35" s="11"/>
      <c r="AB35" s="11"/>
      <c r="AC35" s="11"/>
      <c r="AD35" s="11"/>
      <c r="AE35" s="11"/>
      <c r="AF35" s="11"/>
      <c r="AG35" s="34"/>
      <c r="AH35" s="287"/>
      <c r="AI35" s="287"/>
      <c r="AJ35" s="287"/>
      <c r="AK35" s="287"/>
      <c r="AL35" s="287"/>
      <c r="AM35" s="287"/>
      <c r="AN35" s="287"/>
      <c r="AO35" s="287"/>
      <c r="AP35" s="287"/>
      <c r="AQ35" s="287"/>
      <c r="AR35" s="235"/>
      <c r="AS35" s="11"/>
    </row>
    <row r="36" spans="2:45" s="11" customFormat="1" ht="15" customHeight="1">
      <c r="B36" s="1789"/>
      <c r="C36" s="1790"/>
      <c r="D36" s="1791"/>
      <c r="E36" s="41" t="s">
        <v>388</v>
      </c>
      <c r="F36" s="4" t="s">
        <v>1</v>
      </c>
      <c r="G36" s="4"/>
      <c r="H36" s="4"/>
      <c r="I36" s="4"/>
      <c r="J36" s="4"/>
      <c r="K36" s="4"/>
      <c r="L36" s="4"/>
      <c r="M36" s="4"/>
      <c r="N36" s="4"/>
      <c r="O36" s="41" t="s">
        <v>158</v>
      </c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95"/>
      <c r="AG36" s="82">
        <v>3</v>
      </c>
      <c r="AH36" s="1800">
        <f>'1770S JP'!AH35</f>
        <v>0</v>
      </c>
      <c r="AI36" s="1801"/>
      <c r="AJ36" s="1801"/>
      <c r="AK36" s="1801"/>
      <c r="AL36" s="1801"/>
      <c r="AM36" s="1801"/>
      <c r="AN36" s="1801"/>
      <c r="AO36" s="1801"/>
      <c r="AP36" s="1801"/>
      <c r="AQ36" s="1801"/>
      <c r="AR36" s="256"/>
      <c r="AS36" s="11"/>
    </row>
    <row r="37" spans="2:45" s="11" customFormat="1" ht="9" customHeight="1">
      <c r="B37" s="1789"/>
      <c r="C37" s="1790"/>
      <c r="D37" s="1791"/>
      <c r="E37" s="17"/>
      <c r="F37" s="35" t="s">
        <v>161</v>
      </c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95"/>
      <c r="AG37" s="1799"/>
      <c r="AH37" s="1802"/>
      <c r="AI37" s="1803"/>
      <c r="AJ37" s="1803"/>
      <c r="AK37" s="1803"/>
      <c r="AL37" s="1803"/>
      <c r="AM37" s="1803"/>
      <c r="AN37" s="1803"/>
      <c r="AO37" s="1803"/>
      <c r="AP37" s="1803"/>
      <c r="AQ37" s="1803"/>
      <c r="AR37" s="263"/>
      <c r="AS37" s="11"/>
    </row>
    <row r="38" spans="2:45" s="11" customFormat="1" ht="3" customHeight="1">
      <c r="B38" s="1789"/>
      <c r="C38" s="1790"/>
      <c r="D38" s="1791"/>
      <c r="E38" s="17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11"/>
      <c r="AE38" s="11"/>
      <c r="AF38" s="11"/>
      <c r="AG38" s="34"/>
      <c r="AH38" s="287"/>
      <c r="AI38" s="287"/>
      <c r="AJ38" s="287"/>
      <c r="AK38" s="287"/>
      <c r="AL38" s="287"/>
      <c r="AM38" s="287"/>
      <c r="AN38" s="287"/>
      <c r="AO38" s="287"/>
      <c r="AP38" s="287"/>
      <c r="AQ38" s="287"/>
      <c r="AR38" s="235"/>
      <c r="AS38" s="11"/>
    </row>
    <row r="39" spans="2:45" s="11" customFormat="1" ht="15" customHeight="1">
      <c r="B39" s="1789"/>
      <c r="C39" s="1790"/>
      <c r="D39" s="1791"/>
      <c r="E39" s="41" t="s">
        <v>389</v>
      </c>
      <c r="F39" s="4" t="s">
        <v>17</v>
      </c>
      <c r="G39" s="4"/>
      <c r="H39" s="4"/>
      <c r="I39" s="4"/>
      <c r="J39" s="4"/>
      <c r="K39" s="4"/>
      <c r="L39" s="4"/>
      <c r="M39" s="4"/>
      <c r="N39" s="4"/>
      <c r="O39" s="41" t="s">
        <v>88</v>
      </c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799"/>
      <c r="AG39" s="82">
        <v>4</v>
      </c>
      <c r="AH39" s="1800">
        <f>'1770S JP'!AH38</f>
        <v>0</v>
      </c>
      <c r="AI39" s="1801"/>
      <c r="AJ39" s="1801"/>
      <c r="AK39" s="1801"/>
      <c r="AL39" s="1801"/>
      <c r="AM39" s="1801"/>
      <c r="AN39" s="1801"/>
      <c r="AO39" s="1801"/>
      <c r="AP39" s="1801"/>
      <c r="AQ39" s="1801"/>
      <c r="AR39" s="256"/>
      <c r="AS39" s="11"/>
    </row>
    <row r="40" spans="2:45" s="11" customFormat="1" ht="9" customHeight="1">
      <c r="B40" s="1789"/>
      <c r="C40" s="1790"/>
      <c r="D40" s="1791"/>
      <c r="E40" s="17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798"/>
      <c r="AA40" s="798"/>
      <c r="AB40" s="798"/>
      <c r="AC40" s="798"/>
      <c r="AD40" s="798"/>
      <c r="AE40" s="798"/>
      <c r="AF40" s="799"/>
      <c r="AG40" s="1799"/>
      <c r="AH40" s="1802"/>
      <c r="AI40" s="1803"/>
      <c r="AJ40" s="1803"/>
      <c r="AK40" s="1803"/>
      <c r="AL40" s="1803"/>
      <c r="AM40" s="1803"/>
      <c r="AN40" s="1803"/>
      <c r="AO40" s="1803"/>
      <c r="AP40" s="1803"/>
      <c r="AQ40" s="1803"/>
      <c r="AR40" s="263"/>
      <c r="AS40" s="11"/>
    </row>
    <row r="41" spans="2:45" s="11" customFormat="1" ht="3" customHeight="1">
      <c r="B41" s="1789"/>
      <c r="C41" s="1790"/>
      <c r="D41" s="1791"/>
      <c r="E41" s="17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34"/>
      <c r="AH41" s="287"/>
      <c r="AI41" s="287"/>
      <c r="AJ41" s="287"/>
      <c r="AK41" s="287"/>
      <c r="AL41" s="287"/>
      <c r="AM41" s="287"/>
      <c r="AN41" s="287"/>
      <c r="AO41" s="287"/>
      <c r="AP41" s="287"/>
      <c r="AQ41" s="287"/>
      <c r="AR41" s="235"/>
      <c r="AS41" s="11"/>
    </row>
    <row r="42" spans="2:45" s="11" customFormat="1" ht="15" customHeight="1">
      <c r="B42" s="1789"/>
      <c r="C42" s="1790"/>
      <c r="D42" s="1791"/>
      <c r="E42" s="41" t="s">
        <v>390</v>
      </c>
      <c r="F42" s="4" t="s">
        <v>385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1" t="s">
        <v>80</v>
      </c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11"/>
      <c r="AG42" s="82">
        <v>5</v>
      </c>
      <c r="AH42" s="1800">
        <f>'1770S JP'!AH41</f>
        <v>0</v>
      </c>
      <c r="AI42" s="1801"/>
      <c r="AJ42" s="1801"/>
      <c r="AK42" s="1801"/>
      <c r="AL42" s="1801"/>
      <c r="AM42" s="1801"/>
      <c r="AN42" s="1801"/>
      <c r="AO42" s="1801"/>
      <c r="AP42" s="1801"/>
      <c r="AQ42" s="1801"/>
      <c r="AR42" s="256"/>
      <c r="AS42" s="11"/>
    </row>
    <row r="43" spans="2:45" s="11" customFormat="1" ht="9" customHeight="1">
      <c r="B43" s="1789"/>
      <c r="C43" s="1790"/>
      <c r="D43" s="1791"/>
      <c r="E43" s="17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799"/>
      <c r="AH43" s="1802"/>
      <c r="AI43" s="1803"/>
      <c r="AJ43" s="1803"/>
      <c r="AK43" s="1803"/>
      <c r="AL43" s="1803"/>
      <c r="AM43" s="1803"/>
      <c r="AN43" s="1803"/>
      <c r="AO43" s="1803"/>
      <c r="AP43" s="1803"/>
      <c r="AQ43" s="1803"/>
      <c r="AR43" s="263"/>
      <c r="AS43" s="11"/>
    </row>
    <row r="44" spans="2:45" s="11" customFormat="1" ht="3" customHeight="1">
      <c r="B44" s="1789"/>
      <c r="C44" s="1790"/>
      <c r="D44" s="1791"/>
      <c r="E44" s="17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34"/>
      <c r="AH44" s="287"/>
      <c r="AI44" s="287"/>
      <c r="AJ44" s="287"/>
      <c r="AK44" s="287"/>
      <c r="AL44" s="287"/>
      <c r="AM44" s="287"/>
      <c r="AN44" s="287"/>
      <c r="AO44" s="287"/>
      <c r="AP44" s="287"/>
      <c r="AQ44" s="287"/>
      <c r="AR44" s="235"/>
      <c r="AS44" s="11"/>
    </row>
    <row r="45" spans="2:45" s="11" customFormat="1" ht="15" customHeight="1">
      <c r="B45" s="1789"/>
      <c r="C45" s="1790"/>
      <c r="D45" s="1791"/>
      <c r="E45" s="41" t="s">
        <v>391</v>
      </c>
      <c r="F45" s="4" t="s">
        <v>393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11"/>
      <c r="AA45" s="11"/>
      <c r="AB45" s="2525" t="s">
        <v>183</v>
      </c>
      <c r="AC45" s="2525"/>
      <c r="AD45" s="2525"/>
      <c r="AE45" s="2525"/>
      <c r="AF45" s="11"/>
      <c r="AG45" s="82">
        <v>6</v>
      </c>
      <c r="AH45" s="1800">
        <f>'1770S JP'!AH44</f>
        <v>0</v>
      </c>
      <c r="AI45" s="1801"/>
      <c r="AJ45" s="1801"/>
      <c r="AK45" s="1801"/>
      <c r="AL45" s="1801"/>
      <c r="AM45" s="1801"/>
      <c r="AN45" s="1801"/>
      <c r="AO45" s="1801"/>
      <c r="AP45" s="1801"/>
      <c r="AQ45" s="1801"/>
      <c r="AR45" s="256"/>
      <c r="AS45" s="11"/>
    </row>
    <row r="46" spans="2:45" s="11" customFormat="1" ht="12" customHeight="1">
      <c r="B46" s="1789"/>
      <c r="C46" s="1790"/>
      <c r="D46" s="1791"/>
      <c r="E46" s="41"/>
      <c r="F46" s="4" t="s">
        <v>392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11"/>
      <c r="AA46" s="11"/>
      <c r="AB46" s="11"/>
      <c r="AC46" s="11"/>
      <c r="AD46" s="11"/>
      <c r="AE46" s="11"/>
      <c r="AF46" s="11"/>
      <c r="AG46" s="1799"/>
      <c r="AH46" s="1802"/>
      <c r="AI46" s="1803"/>
      <c r="AJ46" s="1803"/>
      <c r="AK46" s="1803"/>
      <c r="AL46" s="1803"/>
      <c r="AM46" s="1803"/>
      <c r="AN46" s="1803"/>
      <c r="AO46" s="1803"/>
      <c r="AP46" s="1803"/>
      <c r="AQ46" s="1803"/>
      <c r="AR46" s="263"/>
      <c r="AS46" s="11"/>
    </row>
    <row r="47" spans="2:45" s="11" customFormat="1" ht="4" customHeight="1">
      <c r="B47" s="1792"/>
      <c r="C47" s="1793"/>
      <c r="D47" s="1794"/>
      <c r="E47" s="130"/>
      <c r="F47" s="128"/>
      <c r="G47" s="128"/>
      <c r="H47" s="128"/>
      <c r="I47" s="128"/>
      <c r="J47" s="128"/>
      <c r="K47" s="128"/>
      <c r="L47" s="128"/>
      <c r="M47" s="128"/>
      <c r="N47" s="128"/>
      <c r="O47" s="128"/>
      <c r="P47" s="128"/>
      <c r="Q47" s="128"/>
      <c r="R47" s="128"/>
      <c r="S47" s="128"/>
      <c r="T47" s="128"/>
      <c r="U47" s="128"/>
      <c r="V47" s="128"/>
      <c r="W47" s="128"/>
      <c r="X47" s="128"/>
      <c r="Y47" s="128"/>
      <c r="Z47" s="128"/>
      <c r="AA47" s="128"/>
      <c r="AB47" s="128"/>
      <c r="AC47" s="128"/>
      <c r="AD47" s="128"/>
      <c r="AE47" s="128"/>
      <c r="AF47" s="128"/>
      <c r="AG47" s="131"/>
      <c r="AH47" s="288"/>
      <c r="AI47" s="288"/>
      <c r="AJ47" s="288"/>
      <c r="AK47" s="288"/>
      <c r="AL47" s="288"/>
      <c r="AM47" s="288"/>
      <c r="AN47" s="288"/>
      <c r="AO47" s="288"/>
      <c r="AP47" s="288"/>
      <c r="AQ47" s="288"/>
      <c r="AR47" s="238"/>
      <c r="AS47" s="11"/>
    </row>
    <row r="48" spans="2:45" s="11" customFormat="1" ht="4" customHeight="1">
      <c r="B48" s="1845" t="s">
        <v>91</v>
      </c>
      <c r="C48" s="1805"/>
      <c r="D48" s="1806"/>
      <c r="E48" s="132"/>
      <c r="F48" s="133"/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  <c r="AA48" s="133"/>
      <c r="AB48" s="133"/>
      <c r="AC48" s="133"/>
      <c r="AD48" s="133"/>
      <c r="AE48" s="133"/>
      <c r="AF48" s="133"/>
      <c r="AG48" s="134"/>
      <c r="AH48" s="289"/>
      <c r="AI48" s="289"/>
      <c r="AJ48" s="289"/>
      <c r="AK48" s="289"/>
      <c r="AL48" s="289"/>
      <c r="AM48" s="289"/>
      <c r="AN48" s="289"/>
      <c r="AO48" s="289"/>
      <c r="AP48" s="289"/>
      <c r="AQ48" s="289"/>
      <c r="AR48" s="239"/>
      <c r="AS48" s="11"/>
    </row>
    <row r="49" spans="2:45" s="11" customFormat="1" ht="7" customHeight="1">
      <c r="B49" s="1807"/>
      <c r="C49" s="1808"/>
      <c r="D49" s="1809"/>
      <c r="E49" s="49"/>
      <c r="F49" s="11"/>
      <c r="G49" s="11"/>
      <c r="H49" s="11"/>
      <c r="I49" s="11"/>
      <c r="J49" s="11"/>
      <c r="K49" s="11"/>
      <c r="L49" s="11"/>
      <c r="M49" s="11"/>
      <c r="N49" s="11"/>
      <c r="O49" s="16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34"/>
      <c r="AH49" s="287"/>
      <c r="AI49" s="287"/>
      <c r="AJ49" s="287"/>
      <c r="AK49" s="287"/>
      <c r="AL49" s="287"/>
      <c r="AM49" s="287"/>
      <c r="AN49" s="287"/>
      <c r="AO49" s="287"/>
      <c r="AP49" s="287"/>
      <c r="AQ49" s="287"/>
      <c r="AR49" s="235"/>
      <c r="AS49" s="11"/>
    </row>
    <row r="50" spans="2:45" s="11" customFormat="1" ht="15" customHeight="1">
      <c r="B50" s="1807"/>
      <c r="C50" s="1808"/>
      <c r="D50" s="1809"/>
      <c r="E50" s="41" t="s">
        <v>394</v>
      </c>
      <c r="F50" s="4" t="s">
        <v>2</v>
      </c>
      <c r="G50" s="4"/>
      <c r="H50" s="4"/>
      <c r="I50" s="4"/>
      <c r="J50" s="4"/>
      <c r="K50" s="4"/>
      <c r="L50" s="4"/>
      <c r="M50" s="4"/>
      <c r="N50" s="4"/>
      <c r="O50" s="192" t="s">
        <v>164</v>
      </c>
      <c r="P50" s="241" t="str">
        <f>'1770S JP'!P49</f>
        <v/>
      </c>
      <c r="Q50" s="192"/>
      <c r="R50" s="192" t="s">
        <v>165</v>
      </c>
      <c r="S50" s="1329" t="str">
        <f>'1770S JP'!T49</f>
        <v/>
      </c>
      <c r="T50" s="192"/>
      <c r="U50" s="192" t="s">
        <v>166</v>
      </c>
      <c r="V50" s="1329" t="str">
        <f>'1770S JP'!X49</f>
        <v/>
      </c>
      <c r="W50" s="192"/>
      <c r="X50" s="4"/>
      <c r="Y50" s="4"/>
      <c r="Z50" s="4"/>
      <c r="AA50" s="4"/>
      <c r="AB50" s="4"/>
      <c r="AC50" s="4"/>
      <c r="AD50" s="4"/>
      <c r="AE50" s="11"/>
      <c r="AF50" s="11"/>
      <c r="AG50" s="82">
        <v>7</v>
      </c>
      <c r="AH50" s="1800">
        <f>'1770S JP'!AH49</f>
        <v>0</v>
      </c>
      <c r="AI50" s="1801"/>
      <c r="AJ50" s="1801"/>
      <c r="AK50" s="1801"/>
      <c r="AL50" s="1801"/>
      <c r="AM50" s="1801"/>
      <c r="AN50" s="1801"/>
      <c r="AO50" s="1801"/>
      <c r="AP50" s="1801"/>
      <c r="AQ50" s="1801"/>
      <c r="AR50" s="256"/>
      <c r="AS50" s="11"/>
    </row>
    <row r="51" spans="2:45" s="11" customFormat="1" ht="9" customHeight="1">
      <c r="B51" s="1807"/>
      <c r="C51" s="1808"/>
      <c r="D51" s="1809"/>
      <c r="E51" s="17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799"/>
      <c r="AH51" s="1802"/>
      <c r="AI51" s="1803"/>
      <c r="AJ51" s="1803"/>
      <c r="AK51" s="1803"/>
      <c r="AL51" s="1803"/>
      <c r="AM51" s="1803"/>
      <c r="AN51" s="1803"/>
      <c r="AO51" s="1803"/>
      <c r="AP51" s="1803"/>
      <c r="AQ51" s="1803"/>
      <c r="AR51" s="263"/>
      <c r="AS51" s="11"/>
    </row>
    <row r="52" spans="2:45" s="11" customFormat="1" ht="3" customHeight="1">
      <c r="B52" s="1807"/>
      <c r="C52" s="1808"/>
      <c r="D52" s="1809"/>
      <c r="E52" s="17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34"/>
      <c r="AH52" s="287"/>
      <c r="AI52" s="287"/>
      <c r="AJ52" s="287"/>
      <c r="AK52" s="287"/>
      <c r="AL52" s="287"/>
      <c r="AM52" s="287"/>
      <c r="AN52" s="287"/>
      <c r="AO52" s="287"/>
      <c r="AP52" s="287"/>
      <c r="AQ52" s="287"/>
      <c r="AR52" s="235"/>
      <c r="AS52" s="11"/>
    </row>
    <row r="53" spans="2:45" s="11" customFormat="1" ht="15" customHeight="1">
      <c r="B53" s="1807"/>
      <c r="C53" s="1808"/>
      <c r="D53" s="1809"/>
      <c r="E53" s="41" t="s">
        <v>395</v>
      </c>
      <c r="F53" s="4" t="s">
        <v>18</v>
      </c>
      <c r="G53" s="4"/>
      <c r="H53" s="4"/>
      <c r="I53" s="4"/>
      <c r="J53" s="4"/>
      <c r="K53" s="4"/>
      <c r="L53" s="4"/>
      <c r="M53" s="4"/>
      <c r="N53" s="4" t="s">
        <v>115</v>
      </c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82">
        <v>8</v>
      </c>
      <c r="AH53" s="1800">
        <f>'1770S JP'!AH52</f>
        <v>0</v>
      </c>
      <c r="AI53" s="1801"/>
      <c r="AJ53" s="1801"/>
      <c r="AK53" s="1801"/>
      <c r="AL53" s="1801"/>
      <c r="AM53" s="1801"/>
      <c r="AN53" s="1801"/>
      <c r="AO53" s="1801"/>
      <c r="AP53" s="1801"/>
      <c r="AQ53" s="1801"/>
      <c r="AR53" s="256"/>
      <c r="AS53" s="11"/>
    </row>
    <row r="54" spans="2:45" s="11" customFormat="1" ht="9" customHeight="1">
      <c r="B54" s="1807"/>
      <c r="C54" s="1808"/>
      <c r="D54" s="1809"/>
      <c r="E54" s="41"/>
      <c r="F54" s="4"/>
      <c r="G54" s="4"/>
      <c r="H54" s="4"/>
      <c r="I54" s="4"/>
      <c r="J54" s="4"/>
      <c r="K54" s="4"/>
      <c r="L54" s="4"/>
      <c r="M54" s="4"/>
      <c r="N54" s="4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84"/>
      <c r="AH54" s="1802"/>
      <c r="AI54" s="1803"/>
      <c r="AJ54" s="1803"/>
      <c r="AK54" s="1803"/>
      <c r="AL54" s="1803"/>
      <c r="AM54" s="1803"/>
      <c r="AN54" s="1803"/>
      <c r="AO54" s="1803"/>
      <c r="AP54" s="1803"/>
      <c r="AQ54" s="1803"/>
      <c r="AR54" s="263"/>
      <c r="AS54" s="11"/>
    </row>
    <row r="55" spans="2:45" s="11" customFormat="1" ht="4" customHeight="1">
      <c r="B55" s="1810"/>
      <c r="C55" s="1811"/>
      <c r="D55" s="1812"/>
      <c r="E55" s="130"/>
      <c r="F55" s="128"/>
      <c r="G55" s="128"/>
      <c r="H55" s="128"/>
      <c r="I55" s="128"/>
      <c r="J55" s="128"/>
      <c r="K55" s="128"/>
      <c r="L55" s="128"/>
      <c r="M55" s="128"/>
      <c r="N55" s="128"/>
      <c r="O55" s="128"/>
      <c r="P55" s="128"/>
      <c r="Q55" s="128"/>
      <c r="R55" s="128"/>
      <c r="S55" s="128"/>
      <c r="T55" s="128"/>
      <c r="U55" s="128"/>
      <c r="V55" s="128"/>
      <c r="W55" s="128"/>
      <c r="X55" s="128"/>
      <c r="Y55" s="128"/>
      <c r="Z55" s="128"/>
      <c r="AA55" s="128"/>
      <c r="AB55" s="128"/>
      <c r="AC55" s="128"/>
      <c r="AD55" s="128"/>
      <c r="AE55" s="128"/>
      <c r="AF55" s="128"/>
      <c r="AG55" s="131"/>
      <c r="AH55" s="288"/>
      <c r="AI55" s="288"/>
      <c r="AJ55" s="288"/>
      <c r="AK55" s="288"/>
      <c r="AL55" s="288"/>
      <c r="AM55" s="288"/>
      <c r="AN55" s="288"/>
      <c r="AO55" s="288"/>
      <c r="AP55" s="288"/>
      <c r="AQ55" s="288"/>
      <c r="AR55" s="238"/>
      <c r="AS55" s="11"/>
    </row>
    <row r="56" spans="2:45" s="11" customFormat="1" ht="3" customHeight="1">
      <c r="B56" s="157"/>
      <c r="C56" s="41"/>
      <c r="D56" s="121"/>
      <c r="E56" s="17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34"/>
      <c r="AH56" s="287"/>
      <c r="AI56" s="287"/>
      <c r="AJ56" s="287"/>
      <c r="AK56" s="287"/>
      <c r="AL56" s="287"/>
      <c r="AM56" s="287"/>
      <c r="AN56" s="287"/>
      <c r="AO56" s="287"/>
      <c r="AP56" s="287"/>
      <c r="AQ56" s="287"/>
      <c r="AR56" s="235"/>
      <c r="AS56" s="11"/>
    </row>
    <row r="57" spans="2:45" s="11" customFormat="1" ht="7" customHeight="1">
      <c r="B57" s="1789" t="s">
        <v>92</v>
      </c>
      <c r="C57" s="1790"/>
      <c r="D57" s="1791"/>
      <c r="E57" s="49"/>
      <c r="F57" s="11"/>
      <c r="G57" s="11"/>
      <c r="H57" s="11"/>
      <c r="I57" s="11"/>
      <c r="J57" s="11"/>
      <c r="K57" s="16"/>
      <c r="L57" s="16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34"/>
      <c r="AH57" s="287"/>
      <c r="AI57" s="287"/>
      <c r="AJ57" s="287"/>
      <c r="AK57" s="287"/>
      <c r="AL57" s="287"/>
      <c r="AM57" s="287"/>
      <c r="AN57" s="287"/>
      <c r="AO57" s="287"/>
      <c r="AP57" s="287"/>
      <c r="AQ57" s="287"/>
      <c r="AR57" s="235"/>
      <c r="AS57" s="11"/>
    </row>
    <row r="58" spans="2:45" s="11" customFormat="1" ht="15" customHeight="1">
      <c r="B58" s="1789"/>
      <c r="C58" s="1790"/>
      <c r="D58" s="1791"/>
      <c r="E58" s="41" t="s">
        <v>396</v>
      </c>
      <c r="F58" s="4" t="s">
        <v>3</v>
      </c>
      <c r="G58" s="4"/>
      <c r="H58" s="4"/>
      <c r="I58" s="4"/>
      <c r="J58" s="4" t="s">
        <v>138</v>
      </c>
      <c r="K58" s="11"/>
      <c r="L58" s="4"/>
      <c r="M58" s="4"/>
      <c r="N58" s="4"/>
      <c r="O58" s="4"/>
      <c r="P58" s="4"/>
      <c r="Q58" s="4"/>
      <c r="R58" s="4"/>
      <c r="S58" s="4" t="s">
        <v>116</v>
      </c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82">
        <v>9</v>
      </c>
      <c r="AH58" s="1800" t="e">
        <f>'1770S JP'!AH57</f>
        <v>#DIV/0!</v>
      </c>
      <c r="AI58" s="1801"/>
      <c r="AJ58" s="1801"/>
      <c r="AK58" s="1801"/>
      <c r="AL58" s="1801"/>
      <c r="AM58" s="1801"/>
      <c r="AN58" s="1801"/>
      <c r="AO58" s="1801"/>
      <c r="AP58" s="1801"/>
      <c r="AQ58" s="1801"/>
      <c r="AR58" s="256"/>
      <c r="AS58" s="11"/>
    </row>
    <row r="59" spans="2:45" s="11" customFormat="1" ht="9" customHeight="1">
      <c r="B59" s="1789"/>
      <c r="C59" s="1790"/>
      <c r="D59" s="1791"/>
      <c r="E59" s="41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1799"/>
      <c r="AH59" s="1802"/>
      <c r="AI59" s="1803"/>
      <c r="AJ59" s="1803"/>
      <c r="AK59" s="1803"/>
      <c r="AL59" s="1803"/>
      <c r="AM59" s="1803"/>
      <c r="AN59" s="1803"/>
      <c r="AO59" s="1803"/>
      <c r="AP59" s="1803"/>
      <c r="AQ59" s="1803"/>
      <c r="AR59" s="263"/>
      <c r="AS59" s="11"/>
    </row>
    <row r="60" spans="2:45" s="11" customFormat="1" ht="3" customHeight="1">
      <c r="B60" s="1789"/>
      <c r="C60" s="1790"/>
      <c r="D60" s="1791"/>
      <c r="E60" s="41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34"/>
      <c r="AH60" s="287"/>
      <c r="AI60" s="287"/>
      <c r="AJ60" s="287"/>
      <c r="AK60" s="287"/>
      <c r="AL60" s="287"/>
      <c r="AM60" s="287"/>
      <c r="AN60" s="287"/>
      <c r="AO60" s="287"/>
      <c r="AP60" s="287"/>
      <c r="AQ60" s="287"/>
      <c r="AR60" s="235"/>
      <c r="AS60" s="11"/>
    </row>
    <row r="61" spans="2:45" s="11" customFormat="1" ht="15" customHeight="1">
      <c r="B61" s="1789"/>
      <c r="C61" s="1790"/>
      <c r="D61" s="1791"/>
      <c r="E61" s="41" t="s">
        <v>397</v>
      </c>
      <c r="F61" s="4" t="s">
        <v>4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1" t="s">
        <v>1074</v>
      </c>
      <c r="Y61" s="41"/>
      <c r="Z61" s="41"/>
      <c r="AA61" s="41"/>
      <c r="AB61" s="41"/>
      <c r="AC61" s="41"/>
      <c r="AD61" s="41"/>
      <c r="AE61" s="41"/>
      <c r="AF61" s="4"/>
      <c r="AG61" s="82">
        <v>10</v>
      </c>
      <c r="AH61" s="1800">
        <f>'1770S JP'!AH60</f>
        <v>0</v>
      </c>
      <c r="AI61" s="1801"/>
      <c r="AJ61" s="1801"/>
      <c r="AK61" s="1801"/>
      <c r="AL61" s="1801"/>
      <c r="AM61" s="1801"/>
      <c r="AN61" s="1801"/>
      <c r="AO61" s="1801"/>
      <c r="AP61" s="1801"/>
      <c r="AQ61" s="1801"/>
      <c r="AR61" s="256"/>
      <c r="AS61" s="11"/>
    </row>
    <row r="62" spans="2:45" s="11" customFormat="1" ht="9" customHeight="1">
      <c r="B62" s="1789"/>
      <c r="C62" s="1790"/>
      <c r="D62" s="1791"/>
      <c r="E62" s="41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1799"/>
      <c r="AH62" s="1802"/>
      <c r="AI62" s="1803"/>
      <c r="AJ62" s="1803"/>
      <c r="AK62" s="1803"/>
      <c r="AL62" s="1803"/>
      <c r="AM62" s="1803"/>
      <c r="AN62" s="1803"/>
      <c r="AO62" s="1803"/>
      <c r="AP62" s="1803"/>
      <c r="AQ62" s="1803"/>
      <c r="AR62" s="263"/>
      <c r="AS62" s="11"/>
    </row>
    <row r="63" spans="2:45" s="11" customFormat="1" ht="3" customHeight="1">
      <c r="B63" s="1789"/>
      <c r="C63" s="1790"/>
      <c r="D63" s="1791"/>
      <c r="E63" s="41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63"/>
      <c r="AH63" s="287"/>
      <c r="AI63" s="287"/>
      <c r="AJ63" s="287"/>
      <c r="AK63" s="287"/>
      <c r="AL63" s="287"/>
      <c r="AM63" s="287"/>
      <c r="AN63" s="287"/>
      <c r="AO63" s="287"/>
      <c r="AP63" s="287"/>
      <c r="AQ63" s="287"/>
      <c r="AR63" s="235"/>
      <c r="AS63" s="11"/>
    </row>
    <row r="64" spans="2:45" s="11" customFormat="1" ht="15" customHeight="1">
      <c r="B64" s="1789"/>
      <c r="C64" s="1790"/>
      <c r="D64" s="1791"/>
      <c r="E64" s="41" t="s">
        <v>398</v>
      </c>
      <c r="F64" s="4" t="s">
        <v>132</v>
      </c>
      <c r="G64" s="4"/>
      <c r="H64" s="4"/>
      <c r="I64" s="4"/>
      <c r="J64" s="4"/>
      <c r="K64" s="4"/>
      <c r="L64" s="4"/>
      <c r="M64" s="4"/>
      <c r="N64" s="4" t="s">
        <v>118</v>
      </c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82">
        <v>11</v>
      </c>
      <c r="AH64" s="2512" t="e">
        <f>'1770S JP'!AH63</f>
        <v>#DIV/0!</v>
      </c>
      <c r="AI64" s="2513"/>
      <c r="AJ64" s="2513"/>
      <c r="AK64" s="2513"/>
      <c r="AL64" s="2513"/>
      <c r="AM64" s="2513"/>
      <c r="AN64" s="2513"/>
      <c r="AO64" s="2513"/>
      <c r="AP64" s="2513"/>
      <c r="AQ64" s="2513"/>
      <c r="AR64" s="255"/>
      <c r="AS64" s="11"/>
    </row>
    <row r="65" spans="2:45" s="11" customFormat="1" ht="9" customHeight="1">
      <c r="B65" s="1789"/>
      <c r="C65" s="1790"/>
      <c r="D65" s="1791"/>
      <c r="E65" s="41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1799"/>
      <c r="AH65" s="2514"/>
      <c r="AI65" s="2515"/>
      <c r="AJ65" s="2515"/>
      <c r="AK65" s="2515"/>
      <c r="AL65" s="2515"/>
      <c r="AM65" s="2515"/>
      <c r="AN65" s="2515"/>
      <c r="AO65" s="2515"/>
      <c r="AP65" s="2515"/>
      <c r="AQ65" s="2515"/>
      <c r="AR65" s="244"/>
      <c r="AS65" s="11"/>
    </row>
    <row r="66" spans="2:45" s="11" customFormat="1" ht="4" customHeight="1">
      <c r="B66" s="1792"/>
      <c r="C66" s="1793"/>
      <c r="D66" s="1794"/>
      <c r="E66" s="128"/>
      <c r="F66" s="128"/>
      <c r="G66" s="128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131"/>
      <c r="AH66" s="288"/>
      <c r="AI66" s="288"/>
      <c r="AJ66" s="288"/>
      <c r="AK66" s="288"/>
      <c r="AL66" s="288"/>
      <c r="AM66" s="288"/>
      <c r="AN66" s="288"/>
      <c r="AO66" s="288"/>
      <c r="AP66" s="288"/>
      <c r="AQ66" s="288"/>
      <c r="AR66" s="238"/>
      <c r="AS66" s="11"/>
    </row>
    <row r="67" spans="2:45" s="11" customFormat="1" ht="3" customHeight="1">
      <c r="B67" s="157"/>
      <c r="C67" s="41"/>
      <c r="D67" s="121"/>
      <c r="E67" s="17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34"/>
      <c r="AH67" s="287"/>
      <c r="AI67" s="287"/>
      <c r="AJ67" s="287"/>
      <c r="AK67" s="287"/>
      <c r="AL67" s="287"/>
      <c r="AM67" s="287"/>
      <c r="AN67" s="287"/>
      <c r="AO67" s="287"/>
      <c r="AP67" s="287"/>
      <c r="AQ67" s="287"/>
      <c r="AR67" s="235"/>
      <c r="AS67" s="11"/>
    </row>
    <row r="68" spans="2:45" s="11" customFormat="1" ht="7" customHeight="1">
      <c r="B68" s="1789" t="s">
        <v>93</v>
      </c>
      <c r="C68" s="1790"/>
      <c r="D68" s="1791"/>
      <c r="E68" s="49"/>
      <c r="F68" s="11"/>
      <c r="G68" s="50"/>
      <c r="H68" s="50"/>
      <c r="I68" s="50"/>
      <c r="J68" s="50"/>
      <c r="K68" s="50"/>
      <c r="L68" s="50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34"/>
      <c r="AH68" s="287"/>
      <c r="AI68" s="287"/>
      <c r="AJ68" s="287"/>
      <c r="AK68" s="287"/>
      <c r="AL68" s="287"/>
      <c r="AM68" s="287"/>
      <c r="AN68" s="287"/>
      <c r="AO68" s="287"/>
      <c r="AP68" s="287"/>
      <c r="AQ68" s="287"/>
      <c r="AR68" s="235"/>
      <c r="AS68" s="11"/>
    </row>
    <row r="69" spans="2:45" s="11" customFormat="1" ht="15" customHeight="1">
      <c r="B69" s="1789"/>
      <c r="C69" s="1790"/>
      <c r="D69" s="1791"/>
      <c r="E69" s="41" t="s">
        <v>399</v>
      </c>
      <c r="F69" s="12" t="s">
        <v>180</v>
      </c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82">
        <v>12</v>
      </c>
      <c r="AH69" s="1800">
        <f>'1770S JP'!AH68</f>
        <v>0</v>
      </c>
      <c r="AI69" s="1801"/>
      <c r="AJ69" s="1801"/>
      <c r="AK69" s="1801"/>
      <c r="AL69" s="1801"/>
      <c r="AM69" s="1801"/>
      <c r="AN69" s="1801"/>
      <c r="AO69" s="1801"/>
      <c r="AP69" s="1801"/>
      <c r="AQ69" s="1801"/>
      <c r="AR69" s="256"/>
      <c r="AS69" s="11"/>
    </row>
    <row r="70" spans="2:45" s="11" customFormat="1" ht="10" customHeight="1">
      <c r="B70" s="1789"/>
      <c r="C70" s="1790"/>
      <c r="D70" s="1791"/>
      <c r="E70" s="17"/>
      <c r="F70" s="4" t="s">
        <v>175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64"/>
      <c r="AG70" s="1799"/>
      <c r="AH70" s="1802"/>
      <c r="AI70" s="1803"/>
      <c r="AJ70" s="1803"/>
      <c r="AK70" s="1803"/>
      <c r="AL70" s="1803"/>
      <c r="AM70" s="1803"/>
      <c r="AN70" s="1803"/>
      <c r="AO70" s="1803"/>
      <c r="AP70" s="1803"/>
      <c r="AQ70" s="1803"/>
      <c r="AR70" s="263"/>
      <c r="AS70" s="11"/>
    </row>
    <row r="71" spans="2:45" s="11" customFormat="1" ht="3" customHeight="1">
      <c r="B71" s="1789"/>
      <c r="C71" s="1790"/>
      <c r="D71" s="1791"/>
      <c r="E71" s="17"/>
      <c r="F71" s="33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34"/>
      <c r="AH71" s="287"/>
      <c r="AI71" s="287"/>
      <c r="AJ71" s="287"/>
      <c r="AK71" s="287"/>
      <c r="AL71" s="287"/>
      <c r="AM71" s="287"/>
      <c r="AN71" s="287"/>
      <c r="AO71" s="287"/>
      <c r="AP71" s="287"/>
      <c r="AQ71" s="287"/>
      <c r="AR71" s="235"/>
      <c r="AS71" s="11"/>
    </row>
    <row r="72" spans="2:45" s="11" customFormat="1" ht="3.75" customHeight="1">
      <c r="B72" s="1789"/>
      <c r="C72" s="1790"/>
      <c r="D72" s="1791"/>
      <c r="E72" s="17"/>
      <c r="F72" s="33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34"/>
      <c r="AH72" s="287"/>
      <c r="AI72" s="287"/>
      <c r="AJ72" s="287"/>
      <c r="AK72" s="287"/>
      <c r="AL72" s="287"/>
      <c r="AM72" s="287"/>
      <c r="AN72" s="287"/>
      <c r="AO72" s="287"/>
      <c r="AP72" s="287"/>
      <c r="AQ72" s="287"/>
      <c r="AR72" s="235"/>
      <c r="AS72" s="11"/>
    </row>
    <row r="73" spans="2:45" s="11" customFormat="1" ht="12" customHeight="1">
      <c r="B73" s="1789"/>
      <c r="C73" s="1790"/>
      <c r="D73" s="1791"/>
      <c r="E73" s="41" t="s">
        <v>400</v>
      </c>
      <c r="F73" s="44" t="s">
        <v>6</v>
      </c>
      <c r="G73" s="240" t="e">
        <f>'1770S JP'!G72</f>
        <v>#DIV/0!</v>
      </c>
      <c r="H73" s="11"/>
      <c r="I73" s="108" t="s">
        <v>20</v>
      </c>
      <c r="J73" s="43"/>
      <c r="K73" s="43"/>
      <c r="L73" s="43"/>
      <c r="M73" s="43"/>
      <c r="N73" s="43"/>
      <c r="O73" s="43"/>
      <c r="P73" s="43"/>
      <c r="Q73" s="43"/>
      <c r="R73" s="43"/>
      <c r="S73" s="34" t="s">
        <v>63</v>
      </c>
      <c r="T73" s="34"/>
      <c r="U73" s="11"/>
      <c r="V73" s="11"/>
      <c r="W73" s="11"/>
      <c r="X73" s="4"/>
      <c r="Y73" s="4"/>
      <c r="Z73" s="4"/>
      <c r="AA73" s="4"/>
      <c r="AB73" s="4"/>
      <c r="AC73" s="4"/>
      <c r="AD73" s="4"/>
      <c r="AE73" s="4"/>
      <c r="AF73" s="4"/>
      <c r="AG73" s="82">
        <v>13</v>
      </c>
      <c r="AH73" s="1800" t="e">
        <f>'1770S JP'!AH72</f>
        <v>#DIV/0!</v>
      </c>
      <c r="AI73" s="1801"/>
      <c r="AJ73" s="1801"/>
      <c r="AK73" s="1801"/>
      <c r="AL73" s="1801"/>
      <c r="AM73" s="1801"/>
      <c r="AN73" s="1801"/>
      <c r="AO73" s="1801"/>
      <c r="AP73" s="1801"/>
      <c r="AQ73" s="1801"/>
      <c r="AR73" s="256"/>
      <c r="AS73" s="11"/>
    </row>
    <row r="74" spans="2:45" s="11" customFormat="1" ht="3" customHeight="1">
      <c r="B74" s="1789"/>
      <c r="C74" s="1790"/>
      <c r="D74" s="1791"/>
      <c r="E74" s="41"/>
      <c r="F74" s="4"/>
      <c r="G74" s="34"/>
      <c r="H74" s="11"/>
      <c r="I74" s="44"/>
      <c r="J74" s="4"/>
      <c r="K74" s="45"/>
      <c r="L74" s="45"/>
      <c r="M74" s="45"/>
      <c r="N74" s="45"/>
      <c r="O74" s="45"/>
      <c r="P74" s="45"/>
      <c r="Q74" s="45"/>
      <c r="R74" s="45"/>
      <c r="S74" s="34"/>
      <c r="T74" s="34"/>
      <c r="U74" s="11" t="s">
        <v>159</v>
      </c>
      <c r="V74" s="11"/>
      <c r="W74" s="11"/>
      <c r="X74" s="44"/>
      <c r="Y74" s="4"/>
      <c r="Z74" s="4"/>
      <c r="AA74" s="4"/>
      <c r="AB74" s="4"/>
      <c r="AC74" s="4"/>
      <c r="AD74" s="4"/>
      <c r="AE74" s="4"/>
      <c r="AF74" s="4"/>
      <c r="AG74" s="1814"/>
      <c r="AH74" s="1815"/>
      <c r="AI74" s="1816"/>
      <c r="AJ74" s="1816"/>
      <c r="AK74" s="1816"/>
      <c r="AL74" s="1816"/>
      <c r="AM74" s="1816"/>
      <c r="AN74" s="1816"/>
      <c r="AO74" s="1816"/>
      <c r="AP74" s="1816"/>
      <c r="AQ74" s="1816"/>
      <c r="AR74" s="243"/>
      <c r="AS74" s="11"/>
    </row>
    <row r="75" spans="2:45" s="11" customFormat="1" ht="12" customHeight="1">
      <c r="B75" s="1789"/>
      <c r="C75" s="1790"/>
      <c r="D75" s="1791"/>
      <c r="E75" s="41"/>
      <c r="F75" s="44" t="s">
        <v>7</v>
      </c>
      <c r="G75" s="240" t="e">
        <f>'1770S JP'!G74</f>
        <v>#DIV/0!</v>
      </c>
      <c r="H75" s="11"/>
      <c r="I75" s="44" t="s">
        <v>5</v>
      </c>
      <c r="J75" s="4"/>
      <c r="K75" s="24"/>
      <c r="L75" s="24"/>
      <c r="M75" s="24"/>
      <c r="N75" s="24"/>
      <c r="O75" s="24"/>
      <c r="P75" s="24"/>
      <c r="Q75" s="24"/>
      <c r="R75" s="24"/>
      <c r="S75" s="34"/>
      <c r="T75" s="34"/>
      <c r="U75" s="11"/>
      <c r="V75" s="11"/>
      <c r="W75" s="11"/>
      <c r="X75" s="44"/>
      <c r="Y75" s="4"/>
      <c r="Z75" s="4"/>
      <c r="AA75" s="4"/>
      <c r="AB75" s="4"/>
      <c r="AC75" s="4"/>
      <c r="AD75" s="4"/>
      <c r="AE75" s="4"/>
      <c r="AF75" s="4"/>
      <c r="AG75" s="1799"/>
      <c r="AH75" s="1802"/>
      <c r="AI75" s="1803"/>
      <c r="AJ75" s="1803"/>
      <c r="AK75" s="1803"/>
      <c r="AL75" s="1803"/>
      <c r="AM75" s="1803"/>
      <c r="AN75" s="1803"/>
      <c r="AO75" s="1803"/>
      <c r="AP75" s="1803"/>
      <c r="AQ75" s="1803"/>
      <c r="AR75" s="263"/>
      <c r="AS75" s="11"/>
    </row>
    <row r="76" spans="2:45" s="11" customFormat="1" ht="9" customHeight="1">
      <c r="B76" s="1789"/>
      <c r="C76" s="1790"/>
      <c r="D76" s="1791"/>
      <c r="E76" s="4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44"/>
      <c r="S76" s="44"/>
      <c r="T76" s="44"/>
      <c r="U76" s="11"/>
      <c r="V76" s="11"/>
      <c r="W76" s="11"/>
      <c r="X76" s="44"/>
      <c r="Y76" s="4"/>
      <c r="Z76" s="4"/>
      <c r="AA76" s="4"/>
      <c r="AB76" s="4"/>
      <c r="AC76" s="4"/>
      <c r="AD76" s="4"/>
      <c r="AE76" s="4"/>
      <c r="AF76" s="4"/>
      <c r="AG76" s="58"/>
      <c r="AH76" s="287"/>
      <c r="AI76" s="287"/>
      <c r="AJ76" s="287"/>
      <c r="AK76" s="287"/>
      <c r="AL76" s="287"/>
      <c r="AM76" s="287"/>
      <c r="AN76" s="287"/>
      <c r="AO76" s="287"/>
      <c r="AP76" s="287"/>
      <c r="AQ76" s="287"/>
      <c r="AR76" s="235"/>
      <c r="AS76" s="11"/>
    </row>
    <row r="77" spans="2:45" s="11" customFormat="1" ht="3" customHeight="1">
      <c r="B77" s="1789"/>
      <c r="C77" s="1790"/>
      <c r="D77" s="1791"/>
      <c r="E77" s="41"/>
      <c r="F77" s="44"/>
      <c r="G77" s="4"/>
      <c r="H77" s="4"/>
      <c r="I77" s="24"/>
      <c r="J77" s="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34"/>
      <c r="V77" s="34"/>
      <c r="W77" s="34"/>
      <c r="X77" s="44"/>
      <c r="Y77" s="4"/>
      <c r="Z77" s="4"/>
      <c r="AA77" s="4"/>
      <c r="AB77" s="4"/>
      <c r="AC77" s="4"/>
      <c r="AD77" s="4"/>
      <c r="AE77" s="4"/>
      <c r="AF77" s="4"/>
      <c r="AG77" s="7"/>
      <c r="AH77" s="287"/>
      <c r="AI77" s="287"/>
      <c r="AJ77" s="287"/>
      <c r="AK77" s="287"/>
      <c r="AL77" s="287"/>
      <c r="AM77" s="287"/>
      <c r="AN77" s="287"/>
      <c r="AO77" s="287"/>
      <c r="AP77" s="287"/>
      <c r="AQ77" s="287"/>
      <c r="AR77" s="235"/>
      <c r="AS77" s="11"/>
    </row>
    <row r="78" spans="2:45" s="11" customFormat="1" ht="15" customHeight="1">
      <c r="B78" s="1789"/>
      <c r="C78" s="1790"/>
      <c r="D78" s="1791"/>
      <c r="E78" s="41" t="s">
        <v>401</v>
      </c>
      <c r="F78" s="12" t="s">
        <v>19</v>
      </c>
      <c r="G78" s="12"/>
      <c r="H78" s="12"/>
      <c r="I78" s="12"/>
      <c r="J78" s="12"/>
      <c r="K78" s="12"/>
      <c r="L78" s="12"/>
      <c r="M78" s="12"/>
      <c r="N78" s="4" t="s">
        <v>6</v>
      </c>
      <c r="O78" s="4" t="s">
        <v>21</v>
      </c>
      <c r="P78" s="4"/>
      <c r="Q78" s="4"/>
      <c r="R78" s="4"/>
      <c r="S78" s="41" t="s">
        <v>116</v>
      </c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"/>
      <c r="AG78" s="82" t="s">
        <v>53</v>
      </c>
      <c r="AH78" s="1800">
        <f>'1770S JP'!AH77</f>
        <v>0</v>
      </c>
      <c r="AI78" s="1801"/>
      <c r="AJ78" s="1801"/>
      <c r="AK78" s="1801"/>
      <c r="AL78" s="1801"/>
      <c r="AM78" s="1801"/>
      <c r="AN78" s="1801"/>
      <c r="AO78" s="1801"/>
      <c r="AP78" s="1801"/>
      <c r="AQ78" s="1801"/>
      <c r="AR78" s="256"/>
      <c r="AS78" s="11"/>
    </row>
    <row r="79" spans="2:45" s="11" customFormat="1" ht="9" customHeight="1">
      <c r="B79" s="1789"/>
      <c r="C79" s="1790"/>
      <c r="D79" s="1791"/>
      <c r="E79" s="41"/>
      <c r="F79" s="4"/>
      <c r="G79" s="4"/>
      <c r="H79" s="4"/>
      <c r="I79" s="4"/>
      <c r="J79" s="4"/>
      <c r="K79" s="4"/>
      <c r="L79" s="4"/>
      <c r="M79" s="11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1799"/>
      <c r="AH79" s="1802"/>
      <c r="AI79" s="1803"/>
      <c r="AJ79" s="1803"/>
      <c r="AK79" s="1803"/>
      <c r="AL79" s="1803"/>
      <c r="AM79" s="1803"/>
      <c r="AN79" s="1803"/>
      <c r="AO79" s="1803"/>
      <c r="AP79" s="1803"/>
      <c r="AQ79" s="1803"/>
      <c r="AR79" s="263"/>
      <c r="AS79" s="11"/>
    </row>
    <row r="80" spans="2:45" s="11" customFormat="1" ht="3" customHeight="1">
      <c r="B80" s="1789"/>
      <c r="C80" s="1790"/>
      <c r="D80" s="1791"/>
      <c r="E80" s="41"/>
      <c r="F80" s="4"/>
      <c r="G80" s="4"/>
      <c r="H80" s="4"/>
      <c r="I80" s="4"/>
      <c r="J80" s="4"/>
      <c r="K80" s="4"/>
      <c r="L80" s="4"/>
      <c r="M80" s="11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7"/>
      <c r="AH80" s="287"/>
      <c r="AI80" s="287"/>
      <c r="AJ80" s="287"/>
      <c r="AK80" s="287"/>
      <c r="AL80" s="287"/>
      <c r="AM80" s="287"/>
      <c r="AN80" s="287"/>
      <c r="AO80" s="287"/>
      <c r="AP80" s="287"/>
      <c r="AQ80" s="287"/>
      <c r="AR80" s="235"/>
      <c r="AS80" s="11"/>
    </row>
    <row r="81" spans="2:45" s="11" customFormat="1" ht="15" customHeight="1">
      <c r="B81" s="1789"/>
      <c r="C81" s="1790"/>
      <c r="D81" s="1791"/>
      <c r="E81" s="41"/>
      <c r="F81" s="4"/>
      <c r="G81" s="4"/>
      <c r="H81" s="4"/>
      <c r="I81" s="4"/>
      <c r="J81" s="4"/>
      <c r="K81" s="4"/>
      <c r="L81" s="4"/>
      <c r="M81" s="11"/>
      <c r="N81" s="4" t="s">
        <v>7</v>
      </c>
      <c r="O81" s="4" t="s">
        <v>22</v>
      </c>
      <c r="P81" s="4"/>
      <c r="Q81" s="4"/>
      <c r="R81" s="4"/>
      <c r="S81" s="4"/>
      <c r="T81" s="4"/>
      <c r="U81" s="4"/>
      <c r="V81" s="4"/>
      <c r="W81" s="4"/>
      <c r="X81" s="4"/>
      <c r="Y81" s="41" t="s">
        <v>117</v>
      </c>
      <c r="Z81" s="41"/>
      <c r="AA81" s="41"/>
      <c r="AB81" s="41"/>
      <c r="AC81" s="41"/>
      <c r="AD81" s="41"/>
      <c r="AE81" s="41"/>
      <c r="AF81" s="4"/>
      <c r="AG81" s="82" t="s">
        <v>54</v>
      </c>
      <c r="AH81" s="1800">
        <f>'1770S JP'!AH80</f>
        <v>0</v>
      </c>
      <c r="AI81" s="1801"/>
      <c r="AJ81" s="1801"/>
      <c r="AK81" s="1801"/>
      <c r="AL81" s="1801"/>
      <c r="AM81" s="1801"/>
      <c r="AN81" s="1801"/>
      <c r="AO81" s="1801"/>
      <c r="AP81" s="1801"/>
      <c r="AQ81" s="1801"/>
      <c r="AR81" s="256"/>
      <c r="AS81" s="11"/>
    </row>
    <row r="82" spans="2:45" s="11" customFormat="1" ht="9" customHeight="1">
      <c r="B82" s="1789"/>
      <c r="C82" s="1790"/>
      <c r="D82" s="1791"/>
      <c r="E82" s="41"/>
      <c r="F82" s="4"/>
      <c r="G82" s="4"/>
      <c r="H82" s="4"/>
      <c r="I82" s="4"/>
      <c r="J82" s="4"/>
      <c r="K82" s="4"/>
      <c r="L82" s="4"/>
      <c r="M82" s="11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1799"/>
      <c r="AH82" s="1802"/>
      <c r="AI82" s="1803"/>
      <c r="AJ82" s="1803"/>
      <c r="AK82" s="1803"/>
      <c r="AL82" s="1803"/>
      <c r="AM82" s="1803"/>
      <c r="AN82" s="1803"/>
      <c r="AO82" s="1803"/>
      <c r="AP82" s="1803"/>
      <c r="AQ82" s="1803"/>
      <c r="AR82" s="263"/>
      <c r="AS82" s="11"/>
    </row>
    <row r="83" spans="2:45" s="11" customFormat="1" ht="3" customHeight="1">
      <c r="B83" s="1789"/>
      <c r="C83" s="1790"/>
      <c r="D83" s="1791"/>
      <c r="E83" s="41"/>
      <c r="F83" s="4"/>
      <c r="G83" s="4"/>
      <c r="H83" s="4"/>
      <c r="I83" s="4"/>
      <c r="J83" s="4"/>
      <c r="K83" s="4"/>
      <c r="L83" s="4"/>
      <c r="M83" s="11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7"/>
      <c r="AH83" s="287"/>
      <c r="AI83" s="287"/>
      <c r="AJ83" s="287"/>
      <c r="AK83" s="287"/>
      <c r="AL83" s="287"/>
      <c r="AM83" s="287"/>
      <c r="AN83" s="287"/>
      <c r="AO83" s="287"/>
      <c r="AP83" s="287"/>
      <c r="AQ83" s="287"/>
      <c r="AR83" s="235"/>
      <c r="AS83" s="11"/>
    </row>
    <row r="84" spans="2:45" s="11" customFormat="1" ht="15" customHeight="1">
      <c r="B84" s="1789"/>
      <c r="C84" s="1790"/>
      <c r="D84" s="1791"/>
      <c r="E84" s="41" t="s">
        <v>402</v>
      </c>
      <c r="F84" s="4" t="s">
        <v>113</v>
      </c>
      <c r="G84" s="4"/>
      <c r="H84" s="4"/>
      <c r="I84" s="4"/>
      <c r="J84" s="4"/>
      <c r="K84" s="4"/>
      <c r="L84" s="4"/>
      <c r="M84" s="4"/>
      <c r="N84" s="4"/>
      <c r="O84" s="4"/>
      <c r="P84" s="2525" t="s">
        <v>1075</v>
      </c>
      <c r="Q84" s="2525"/>
      <c r="R84" s="2525"/>
      <c r="S84" s="2525"/>
      <c r="T84" s="2525"/>
      <c r="U84" s="2525"/>
      <c r="V84" s="2525"/>
      <c r="W84" s="2525"/>
      <c r="X84" s="2525"/>
      <c r="Y84" s="2525"/>
      <c r="Z84" s="2525"/>
      <c r="AA84" s="2525"/>
      <c r="AB84" s="2525"/>
      <c r="AC84" s="2525"/>
      <c r="AD84" s="2525"/>
      <c r="AE84" s="2525"/>
      <c r="AF84" s="300"/>
      <c r="AG84" s="82">
        <v>15</v>
      </c>
      <c r="AH84" s="1800">
        <f>'1770S JP'!AH83</f>
        <v>0</v>
      </c>
      <c r="AI84" s="1801"/>
      <c r="AJ84" s="1801"/>
      <c r="AK84" s="1801"/>
      <c r="AL84" s="1801"/>
      <c r="AM84" s="1801"/>
      <c r="AN84" s="1801"/>
      <c r="AO84" s="1801"/>
      <c r="AP84" s="1801"/>
      <c r="AQ84" s="1801"/>
      <c r="AR84" s="256"/>
      <c r="AS84" s="11"/>
    </row>
    <row r="85" spans="2:45" s="11" customFormat="1" ht="9" customHeight="1">
      <c r="B85" s="1789"/>
      <c r="C85" s="1790"/>
      <c r="D85" s="1791"/>
      <c r="E85" s="41"/>
      <c r="F85" s="4"/>
      <c r="G85" s="4"/>
      <c r="H85" s="4"/>
      <c r="I85" s="4"/>
      <c r="J85" s="4"/>
      <c r="K85" s="4"/>
      <c r="L85" s="4"/>
      <c r="M85" s="11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1799"/>
      <c r="AH85" s="1802"/>
      <c r="AI85" s="1803"/>
      <c r="AJ85" s="1803"/>
      <c r="AK85" s="1803"/>
      <c r="AL85" s="1803"/>
      <c r="AM85" s="1803"/>
      <c r="AN85" s="1803"/>
      <c r="AO85" s="1803"/>
      <c r="AP85" s="1803"/>
      <c r="AQ85" s="1803"/>
      <c r="AR85" s="263"/>
      <c r="AS85" s="11"/>
    </row>
    <row r="86" spans="2:45" s="11" customFormat="1" ht="4" customHeight="1">
      <c r="B86" s="1792"/>
      <c r="C86" s="1793"/>
      <c r="D86" s="1794"/>
      <c r="E86" s="130"/>
      <c r="F86" s="128"/>
      <c r="G86" s="128"/>
      <c r="H86" s="128"/>
      <c r="I86" s="128"/>
      <c r="J86" s="128"/>
      <c r="K86" s="128"/>
      <c r="L86" s="128"/>
      <c r="M86" s="128"/>
      <c r="N86" s="128"/>
      <c r="O86" s="128"/>
      <c r="P86" s="128"/>
      <c r="Q86" s="128"/>
      <c r="R86" s="128"/>
      <c r="S86" s="128"/>
      <c r="T86" s="128"/>
      <c r="U86" s="128"/>
      <c r="V86" s="128"/>
      <c r="W86" s="128"/>
      <c r="X86" s="128"/>
      <c r="Y86" s="128"/>
      <c r="Z86" s="128"/>
      <c r="AA86" s="128"/>
      <c r="AB86" s="128"/>
      <c r="AC86" s="128"/>
      <c r="AD86" s="128"/>
      <c r="AE86" s="128"/>
      <c r="AF86" s="128"/>
      <c r="AG86" s="108"/>
      <c r="AH86" s="288"/>
      <c r="AI86" s="288"/>
      <c r="AJ86" s="288"/>
      <c r="AK86" s="288"/>
      <c r="AL86" s="288"/>
      <c r="AM86" s="288"/>
      <c r="AN86" s="288"/>
      <c r="AO86" s="288"/>
      <c r="AP86" s="288"/>
      <c r="AQ86" s="288"/>
      <c r="AR86" s="238"/>
      <c r="AS86" s="11"/>
    </row>
    <row r="87" spans="2:44" s="11" customFormat="1" ht="3" customHeight="1">
      <c r="B87" s="1845" t="s">
        <v>151</v>
      </c>
      <c r="C87" s="1805"/>
      <c r="D87" s="1806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  <c r="AA87" s="133"/>
      <c r="AB87" s="133"/>
      <c r="AC87" s="133"/>
      <c r="AD87" s="133"/>
      <c r="AE87" s="133"/>
      <c r="AF87" s="133"/>
      <c r="AG87" s="133"/>
      <c r="AH87" s="289"/>
      <c r="AI87" s="289"/>
      <c r="AJ87" s="289"/>
      <c r="AK87" s="289"/>
      <c r="AL87" s="289"/>
      <c r="AM87" s="289"/>
      <c r="AN87" s="289"/>
      <c r="AO87" s="289"/>
      <c r="AP87" s="289"/>
      <c r="AQ87" s="289"/>
      <c r="AR87" s="239"/>
    </row>
    <row r="88" spans="2:44" s="11" customFormat="1" ht="3" customHeight="1">
      <c r="B88" s="1807"/>
      <c r="C88" s="1808"/>
      <c r="D88" s="1809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287"/>
      <c r="AI88" s="287"/>
      <c r="AJ88" s="287"/>
      <c r="AK88" s="287"/>
      <c r="AL88" s="287"/>
      <c r="AM88" s="287"/>
      <c r="AN88" s="287"/>
      <c r="AO88" s="287"/>
      <c r="AP88" s="287"/>
      <c r="AQ88" s="287"/>
      <c r="AR88" s="235"/>
    </row>
    <row r="89" spans="2:45" s="11" customFormat="1" ht="4" customHeight="1">
      <c r="B89" s="1807"/>
      <c r="C89" s="1808"/>
      <c r="D89" s="1809"/>
      <c r="E89" s="49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6"/>
      <c r="R89" s="11"/>
      <c r="S89" s="11"/>
      <c r="T89" s="11"/>
      <c r="U89" s="11"/>
      <c r="V89" s="11"/>
      <c r="W89" s="11"/>
      <c r="X89" s="46" t="s">
        <v>148</v>
      </c>
      <c r="Y89" s="46"/>
      <c r="Z89" s="46"/>
      <c r="AA89" s="46"/>
      <c r="AB89" s="46"/>
      <c r="AC89" s="46"/>
      <c r="AD89" s="46"/>
      <c r="AE89" s="46"/>
      <c r="AF89" s="11"/>
      <c r="AG89" s="7"/>
      <c r="AH89" s="287"/>
      <c r="AI89" s="287"/>
      <c r="AJ89" s="287"/>
      <c r="AK89" s="287"/>
      <c r="AL89" s="287"/>
      <c r="AM89" s="287"/>
      <c r="AN89" s="287"/>
      <c r="AO89" s="287"/>
      <c r="AP89" s="287"/>
      <c r="AQ89" s="287"/>
      <c r="AR89" s="235"/>
      <c r="AS89" s="11"/>
    </row>
    <row r="90" spans="2:45" s="11" customFormat="1" ht="3" customHeight="1">
      <c r="B90" s="1807"/>
      <c r="C90" s="1808"/>
      <c r="D90" s="1809"/>
      <c r="E90" s="204"/>
      <c r="F90" s="54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1"/>
      <c r="S90" s="11"/>
      <c r="T90" s="11"/>
      <c r="U90" s="11"/>
      <c r="V90" s="11"/>
      <c r="W90" s="11"/>
      <c r="X90" s="46"/>
      <c r="Y90" s="46"/>
      <c r="Z90" s="46"/>
      <c r="AA90" s="46"/>
      <c r="AB90" s="46"/>
      <c r="AC90" s="46"/>
      <c r="AD90" s="46"/>
      <c r="AE90" s="46"/>
      <c r="AF90" s="11"/>
      <c r="AG90" s="7"/>
      <c r="AH90" s="287"/>
      <c r="AI90" s="287"/>
      <c r="AJ90" s="287"/>
      <c r="AK90" s="287"/>
      <c r="AL90" s="287"/>
      <c r="AM90" s="287"/>
      <c r="AN90" s="287"/>
      <c r="AO90" s="287"/>
      <c r="AP90" s="287"/>
      <c r="AQ90" s="287"/>
      <c r="AR90" s="235"/>
      <c r="AS90" s="11"/>
    </row>
    <row r="91" spans="2:45" s="11" customFormat="1" ht="7" customHeight="1">
      <c r="B91" s="1807"/>
      <c r="C91" s="1808"/>
      <c r="D91" s="1809"/>
      <c r="E91" s="204"/>
      <c r="F91" s="54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1"/>
      <c r="S91" s="11"/>
      <c r="T91" s="11"/>
      <c r="U91" s="11"/>
      <c r="V91" s="11"/>
      <c r="W91" s="11"/>
      <c r="X91" s="46"/>
      <c r="Y91" s="46"/>
      <c r="Z91" s="46"/>
      <c r="AA91" s="46"/>
      <c r="AB91" s="46"/>
      <c r="AC91" s="46"/>
      <c r="AD91" s="46"/>
      <c r="AE91" s="46"/>
      <c r="AF91" s="11"/>
      <c r="AG91" s="7"/>
      <c r="AH91" s="287"/>
      <c r="AI91" s="287"/>
      <c r="AJ91" s="287"/>
      <c r="AK91" s="287"/>
      <c r="AL91" s="287"/>
      <c r="AM91" s="287"/>
      <c r="AN91" s="287"/>
      <c r="AO91" s="287"/>
      <c r="AP91" s="287"/>
      <c r="AQ91" s="287"/>
      <c r="AR91" s="235"/>
      <c r="AS91" s="11"/>
    </row>
    <row r="92" spans="2:45" s="11" customFormat="1" ht="15" customHeight="1">
      <c r="B92" s="1807"/>
      <c r="C92" s="1808"/>
      <c r="D92" s="1809"/>
      <c r="E92" s="41" t="s">
        <v>403</v>
      </c>
      <c r="F92" s="240" t="e">
        <f>'1770S JP'!F90</f>
        <v>#DIV/0!</v>
      </c>
      <c r="G92" s="11"/>
      <c r="H92" s="44" t="s">
        <v>9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11"/>
      <c r="U92" s="34" t="s">
        <v>114</v>
      </c>
      <c r="V92" s="34"/>
      <c r="W92" s="4"/>
      <c r="X92" s="1330" t="str">
        <f>'1770S JP'!X90</f>
        <v> </v>
      </c>
      <c r="Y92" s="1330" t="str">
        <f>'1770S JP'!Y90</f>
        <v> </v>
      </c>
      <c r="Z92" s="76"/>
      <c r="AA92" s="1330" t="str">
        <f>'1770S JP'!AA90</f>
        <v> </v>
      </c>
      <c r="AB92" s="1330" t="str">
        <f>'1770S JP'!AB90</f>
        <v> </v>
      </c>
      <c r="AC92" s="76"/>
      <c r="AD92" s="1330" t="str">
        <f>'1770S JP'!AD90</f>
        <v> </v>
      </c>
      <c r="AE92" s="1330" t="str">
        <f>'1770S JP'!AE90</f>
        <v> </v>
      </c>
      <c r="AF92" s="4"/>
      <c r="AG92" s="82">
        <v>16</v>
      </c>
      <c r="AH92" s="1826" t="e">
        <f>'1770S JP'!AH90</f>
        <v>#DIV/0!</v>
      </c>
      <c r="AI92" s="1827"/>
      <c r="AJ92" s="1827"/>
      <c r="AK92" s="1827"/>
      <c r="AL92" s="1827"/>
      <c r="AM92" s="1827"/>
      <c r="AN92" s="1827"/>
      <c r="AO92" s="1827"/>
      <c r="AP92" s="1827"/>
      <c r="AQ92" s="1827"/>
      <c r="AR92" s="256"/>
      <c r="AS92" s="11"/>
    </row>
    <row r="93" spans="2:44" s="11" customFormat="1" ht="3" customHeight="1">
      <c r="B93" s="1807"/>
      <c r="C93" s="1808"/>
      <c r="D93" s="1809"/>
      <c r="E93" s="41"/>
      <c r="F93" s="304"/>
      <c r="H93" s="108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U93" s="34"/>
      <c r="V93" s="34"/>
      <c r="W93" s="4"/>
      <c r="X93" s="2526" t="s">
        <v>56</v>
      </c>
      <c r="Y93" s="2526"/>
      <c r="Z93" s="44"/>
      <c r="AA93" s="2526" t="s">
        <v>57</v>
      </c>
      <c r="AB93" s="2526"/>
      <c r="AC93" s="44"/>
      <c r="AD93" s="2526" t="s">
        <v>58</v>
      </c>
      <c r="AE93" s="2526"/>
      <c r="AF93" s="4"/>
      <c r="AG93" s="1814"/>
      <c r="AH93" s="1828"/>
      <c r="AI93" s="1829"/>
      <c r="AJ93" s="1829"/>
      <c r="AK93" s="1829"/>
      <c r="AL93" s="1829"/>
      <c r="AM93" s="1829"/>
      <c r="AN93" s="1829"/>
      <c r="AO93" s="1829"/>
      <c r="AP93" s="1829"/>
      <c r="AQ93" s="1829"/>
      <c r="AR93" s="243"/>
    </row>
    <row r="94" spans="2:45" s="11" customFormat="1" ht="15" customHeight="1">
      <c r="B94" s="1807"/>
      <c r="C94" s="1808"/>
      <c r="D94" s="1809"/>
      <c r="E94" s="41"/>
      <c r="F94" s="240" t="e">
        <f>'1770S JP'!F92</f>
        <v>#DIV/0!</v>
      </c>
      <c r="G94" s="11"/>
      <c r="H94" s="44" t="s">
        <v>10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11"/>
      <c r="U94" s="34"/>
      <c r="V94" s="34"/>
      <c r="W94" s="4"/>
      <c r="X94" s="2526"/>
      <c r="Y94" s="2526"/>
      <c r="Z94" s="44"/>
      <c r="AA94" s="2526"/>
      <c r="AB94" s="2526"/>
      <c r="AC94" s="44"/>
      <c r="AD94" s="2526"/>
      <c r="AE94" s="2526"/>
      <c r="AF94" s="4"/>
      <c r="AG94" s="1799"/>
      <c r="AH94" s="1830"/>
      <c r="AI94" s="1831"/>
      <c r="AJ94" s="1831"/>
      <c r="AK94" s="1831"/>
      <c r="AL94" s="1831"/>
      <c r="AM94" s="1831"/>
      <c r="AN94" s="1831"/>
      <c r="AO94" s="1831"/>
      <c r="AP94" s="1831"/>
      <c r="AQ94" s="1831"/>
      <c r="AR94" s="263"/>
      <c r="AS94" s="11"/>
    </row>
    <row r="95" spans="2:45" s="11" customFormat="1" ht="10" customHeight="1">
      <c r="B95" s="1807"/>
      <c r="C95" s="1808"/>
      <c r="D95" s="1809"/>
      <c r="E95" s="41"/>
      <c r="F95" s="4"/>
      <c r="G95" s="2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34"/>
      <c r="T95" s="34"/>
      <c r="U95" s="44"/>
      <c r="V95" s="4"/>
      <c r="W95" s="4"/>
      <c r="X95" s="56"/>
      <c r="Y95" s="56"/>
      <c r="Z95" s="4"/>
      <c r="AA95" s="56"/>
      <c r="AB95" s="56"/>
      <c r="AC95" s="4"/>
      <c r="AD95" s="56"/>
      <c r="AE95" s="56"/>
      <c r="AF95" s="4"/>
      <c r="AG95" s="34"/>
      <c r="AH95" s="75"/>
      <c r="AI95" s="75"/>
      <c r="AJ95" s="75"/>
      <c r="AK95" s="75"/>
      <c r="AL95" s="75"/>
      <c r="AM95" s="75"/>
      <c r="AN95" s="75"/>
      <c r="AO95" s="75"/>
      <c r="AP95" s="75"/>
      <c r="AQ95" s="75"/>
      <c r="AR95" s="235"/>
      <c r="AS95" s="11"/>
    </row>
    <row r="96" spans="2:45" s="11" customFormat="1" ht="10" customHeight="1">
      <c r="B96" s="1807"/>
      <c r="C96" s="1808"/>
      <c r="D96" s="1809"/>
      <c r="E96" s="41" t="s">
        <v>404</v>
      </c>
      <c r="F96" s="4" t="s">
        <v>406</v>
      </c>
      <c r="G96" s="4"/>
      <c r="H96" s="4"/>
      <c r="I96" s="4"/>
      <c r="J96" s="4"/>
      <c r="K96" s="4"/>
      <c r="L96" s="4"/>
      <c r="M96" s="4"/>
      <c r="N96" s="4"/>
      <c r="O96" s="4"/>
      <c r="P96" s="57"/>
      <c r="Q96" s="4"/>
      <c r="R96" s="4"/>
      <c r="S96" s="34"/>
      <c r="T96" s="34"/>
      <c r="U96" s="44"/>
      <c r="V96" s="4"/>
      <c r="W96" s="4"/>
      <c r="X96" s="56"/>
      <c r="Y96" s="56"/>
      <c r="Z96" s="4"/>
      <c r="AA96" s="56"/>
      <c r="AB96" s="56"/>
      <c r="AC96" s="4"/>
      <c r="AD96" s="56"/>
      <c r="AE96" s="56"/>
      <c r="AF96" s="4"/>
      <c r="AG96" s="34"/>
      <c r="AH96" s="75"/>
      <c r="AI96" s="75"/>
      <c r="AJ96" s="75"/>
      <c r="AK96" s="75"/>
      <c r="AL96" s="75"/>
      <c r="AM96" s="75"/>
      <c r="AN96" s="75"/>
      <c r="AO96" s="75"/>
      <c r="AP96" s="75"/>
      <c r="AQ96" s="75"/>
      <c r="AR96" s="235"/>
      <c r="AS96" s="11"/>
    </row>
    <row r="97" spans="2:45" s="11" customFormat="1" ht="12" customHeight="1">
      <c r="B97" s="1807"/>
      <c r="C97" s="1808"/>
      <c r="D97" s="1809"/>
      <c r="F97" s="34" t="s">
        <v>6</v>
      </c>
      <c r="G97" s="94" t="str">
        <f>'1770S JP'!G95</f>
        <v> </v>
      </c>
      <c r="H97" s="44" t="s">
        <v>52</v>
      </c>
      <c r="P97" s="4"/>
      <c r="Q97" s="4" t="s">
        <v>409</v>
      </c>
      <c r="R97" s="303" t="str">
        <f>'1770S JP'!Q95</f>
        <v> </v>
      </c>
      <c r="S97" s="44" t="s">
        <v>881</v>
      </c>
      <c r="T97" s="4"/>
      <c r="U97" s="56"/>
      <c r="V97" s="56"/>
      <c r="W97" s="4"/>
      <c r="X97" s="56"/>
      <c r="Y97" s="56"/>
      <c r="AH97" s="75"/>
      <c r="AI97" s="75"/>
      <c r="AJ97" s="75"/>
      <c r="AK97" s="75"/>
      <c r="AL97" s="75"/>
      <c r="AM97" s="75"/>
      <c r="AN97" s="75"/>
      <c r="AO97" s="75"/>
      <c r="AP97" s="75"/>
      <c r="AQ97" s="75"/>
      <c r="AR97" s="235"/>
      <c r="AS97" s="11"/>
    </row>
    <row r="98" spans="2:45" s="11" customFormat="1" ht="3" customHeight="1">
      <c r="B98" s="1807"/>
      <c r="C98" s="1808"/>
      <c r="D98" s="1809"/>
      <c r="E98" s="41"/>
      <c r="F98" s="4"/>
      <c r="G98" s="44"/>
      <c r="H98" s="44"/>
      <c r="I98" s="11"/>
      <c r="J98" s="11"/>
      <c r="P98" s="4"/>
      <c r="Q98" s="4"/>
      <c r="S98" s="58"/>
      <c r="T98" s="4"/>
      <c r="U98" s="4"/>
      <c r="V98" s="4"/>
      <c r="W98" s="4"/>
      <c r="X98" s="4"/>
      <c r="Y98" s="4"/>
      <c r="AH98" s="75"/>
      <c r="AI98" s="75"/>
      <c r="AJ98" s="75"/>
      <c r="AK98" s="75"/>
      <c r="AL98" s="75"/>
      <c r="AM98" s="75"/>
      <c r="AN98" s="75"/>
      <c r="AO98" s="75"/>
      <c r="AP98" s="75"/>
      <c r="AQ98" s="75"/>
      <c r="AR98" s="235"/>
      <c r="AS98" s="11"/>
    </row>
    <row r="99" spans="2:45" s="11" customFormat="1" ht="12" customHeight="1">
      <c r="B99" s="1807"/>
      <c r="C99" s="1808"/>
      <c r="D99" s="1809"/>
      <c r="E99" s="41"/>
      <c r="F99" s="41" t="s">
        <v>7</v>
      </c>
      <c r="G99" s="578" t="str">
        <f>'1770S JP'!G97</f>
        <v> </v>
      </c>
      <c r="H99" s="118" t="s">
        <v>412</v>
      </c>
      <c r="I99" s="4"/>
      <c r="J99" s="4"/>
      <c r="P99" s="4"/>
      <c r="Q99" s="4" t="s">
        <v>410</v>
      </c>
      <c r="R99" s="303" t="str">
        <f>'1770S JP'!Q97</f>
        <v> </v>
      </c>
      <c r="S99" s="44" t="s">
        <v>882</v>
      </c>
      <c r="T99" s="4"/>
      <c r="U99" s="4"/>
      <c r="V99" s="4"/>
      <c r="W99" s="4"/>
      <c r="X99" s="4"/>
      <c r="AH99" s="75"/>
      <c r="AI99" s="75"/>
      <c r="AJ99" s="75"/>
      <c r="AK99" s="75"/>
      <c r="AL99" s="75"/>
      <c r="AM99" s="75"/>
      <c r="AN99" s="75"/>
      <c r="AO99" s="75"/>
      <c r="AP99" s="75"/>
      <c r="AQ99" s="75"/>
      <c r="AR99" s="235"/>
      <c r="AS99" s="11"/>
    </row>
    <row r="100" spans="2:45" s="11" customFormat="1" ht="10.5" customHeight="1">
      <c r="B100" s="1807"/>
      <c r="C100" s="1808"/>
      <c r="D100" s="1809"/>
      <c r="E100" s="41"/>
      <c r="F100" s="41"/>
      <c r="G100" s="34"/>
      <c r="H100" s="4" t="s">
        <v>411</v>
      </c>
      <c r="I100" s="4"/>
      <c r="J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11"/>
      <c r="AH100" s="75"/>
      <c r="AI100" s="75"/>
      <c r="AJ100" s="75"/>
      <c r="AK100" s="75"/>
      <c r="AL100" s="75"/>
      <c r="AM100" s="75"/>
      <c r="AN100" s="75"/>
      <c r="AO100" s="75"/>
      <c r="AP100" s="75"/>
      <c r="AQ100" s="75"/>
      <c r="AR100" s="235"/>
      <c r="AS100" s="11"/>
    </row>
    <row r="101" spans="2:45" s="11" customFormat="1" ht="3.75" customHeight="1">
      <c r="B101" s="1810"/>
      <c r="C101" s="1811"/>
      <c r="D101" s="1812"/>
      <c r="E101" s="136"/>
      <c r="F101" s="136"/>
      <c r="G101" s="136"/>
      <c r="H101" s="136"/>
      <c r="I101" s="136"/>
      <c r="J101" s="136"/>
      <c r="K101" s="136"/>
      <c r="L101" s="136"/>
      <c r="M101" s="136"/>
      <c r="N101" s="136"/>
      <c r="O101" s="136"/>
      <c r="P101" s="136"/>
      <c r="Q101" s="136"/>
      <c r="R101" s="136"/>
      <c r="S101" s="136"/>
      <c r="T101" s="136"/>
      <c r="U101" s="137"/>
      <c r="V101" s="136"/>
      <c r="W101" s="136"/>
      <c r="X101" s="136"/>
      <c r="Y101" s="136"/>
      <c r="Z101" s="136"/>
      <c r="AA101" s="136"/>
      <c r="AB101" s="136"/>
      <c r="AC101" s="136"/>
      <c r="AD101" s="137"/>
      <c r="AE101" s="128"/>
      <c r="AF101" s="128"/>
      <c r="AG101" s="138"/>
      <c r="AH101" s="292"/>
      <c r="AI101" s="292"/>
      <c r="AJ101" s="292"/>
      <c r="AK101" s="292"/>
      <c r="AL101" s="292"/>
      <c r="AM101" s="292"/>
      <c r="AN101" s="292"/>
      <c r="AO101" s="292"/>
      <c r="AP101" s="292"/>
      <c r="AQ101" s="292"/>
      <c r="AR101" s="238"/>
      <c r="AS101" s="11"/>
    </row>
    <row r="102" spans="2:45" s="11" customFormat="1" ht="8.25" customHeight="1">
      <c r="B102" s="1845" t="s">
        <v>94</v>
      </c>
      <c r="C102" s="1805"/>
      <c r="D102" s="1806"/>
      <c r="E102" s="132"/>
      <c r="F102" s="133"/>
      <c r="G102" s="139"/>
      <c r="H102" s="139"/>
      <c r="I102" s="139"/>
      <c r="J102" s="139"/>
      <c r="K102" s="139"/>
      <c r="L102" s="139"/>
      <c r="M102" s="139"/>
      <c r="N102" s="139"/>
      <c r="O102" s="139"/>
      <c r="P102" s="139"/>
      <c r="Q102" s="139"/>
      <c r="R102" s="139"/>
      <c r="S102" s="133"/>
      <c r="T102" s="133"/>
      <c r="U102" s="133"/>
      <c r="V102" s="133"/>
      <c r="W102" s="133"/>
      <c r="X102" s="133"/>
      <c r="Y102" s="133"/>
      <c r="Z102" s="133"/>
      <c r="AA102" s="133"/>
      <c r="AB102" s="133"/>
      <c r="AC102" s="133"/>
      <c r="AD102" s="133"/>
      <c r="AE102" s="133"/>
      <c r="AF102" s="133"/>
      <c r="AG102" s="140"/>
      <c r="AH102" s="293"/>
      <c r="AI102" s="293"/>
      <c r="AJ102" s="293"/>
      <c r="AK102" s="293"/>
      <c r="AL102" s="293"/>
      <c r="AM102" s="293"/>
      <c r="AN102" s="293"/>
      <c r="AO102" s="293"/>
      <c r="AP102" s="293"/>
      <c r="AQ102" s="293"/>
      <c r="AR102" s="239"/>
      <c r="AS102" s="11"/>
    </row>
    <row r="103" spans="2:45" s="11" customFormat="1" ht="15.75" customHeight="1">
      <c r="B103" s="1807"/>
      <c r="C103" s="1808"/>
      <c r="D103" s="1809"/>
      <c r="E103" s="41" t="s">
        <v>405</v>
      </c>
      <c r="F103" s="4" t="s">
        <v>77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1" t="s">
        <v>121</v>
      </c>
      <c r="W103" s="41"/>
      <c r="X103" s="41"/>
      <c r="Y103" s="41"/>
      <c r="Z103" s="41"/>
      <c r="AA103" s="41"/>
      <c r="AB103" s="41"/>
      <c r="AC103" s="41"/>
      <c r="AD103" s="41"/>
      <c r="AE103" s="41"/>
      <c r="AF103" s="121"/>
      <c r="AG103" s="82">
        <v>18</v>
      </c>
      <c r="AH103" s="1800" t="e">
        <f>'1770S JP'!AH101</f>
        <v>#VALUE!</v>
      </c>
      <c r="AI103" s="1801"/>
      <c r="AJ103" s="1801"/>
      <c r="AK103" s="1801"/>
      <c r="AL103" s="1801"/>
      <c r="AM103" s="1801"/>
      <c r="AN103" s="1801"/>
      <c r="AO103" s="1801"/>
      <c r="AP103" s="1801"/>
      <c r="AQ103" s="1801"/>
      <c r="AR103" s="256"/>
      <c r="AS103" s="11"/>
    </row>
    <row r="104" spans="2:45" s="11" customFormat="1" ht="3.75" customHeight="1">
      <c r="B104" s="1807"/>
      <c r="C104" s="1808"/>
      <c r="D104" s="1809"/>
      <c r="E104" s="17"/>
      <c r="F104" s="11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799"/>
      <c r="AH104" s="1802"/>
      <c r="AI104" s="1803"/>
      <c r="AJ104" s="1803"/>
      <c r="AK104" s="1803"/>
      <c r="AL104" s="1803"/>
      <c r="AM104" s="1803"/>
      <c r="AN104" s="1803"/>
      <c r="AO104" s="1803"/>
      <c r="AP104" s="1803"/>
      <c r="AQ104" s="1803"/>
      <c r="AR104" s="263"/>
      <c r="AS104" s="11"/>
    </row>
    <row r="105" spans="2:45" s="11" customFormat="1" ht="12" customHeight="1">
      <c r="B105" s="1807"/>
      <c r="C105" s="1808"/>
      <c r="D105" s="1809"/>
      <c r="E105" s="41"/>
      <c r="F105" s="4" t="s">
        <v>413</v>
      </c>
      <c r="G105" s="5"/>
      <c r="H105" s="5"/>
      <c r="I105" s="5"/>
      <c r="J105" s="5"/>
      <c r="K105" s="76"/>
      <c r="L105" s="4"/>
      <c r="M105" s="4"/>
      <c r="N105" s="4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1"/>
      <c r="AB105" s="11"/>
      <c r="AC105" s="11"/>
      <c r="AD105" s="11"/>
      <c r="AE105" s="11"/>
      <c r="AF105" s="11"/>
      <c r="AG105" s="46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22"/>
      <c r="AS105" s="11"/>
    </row>
    <row r="106" spans="2:45" s="11" customFormat="1" ht="14.25" customHeight="1">
      <c r="B106" s="1807"/>
      <c r="C106" s="1808"/>
      <c r="D106" s="1809"/>
      <c r="E106" s="41"/>
      <c r="F106" s="41" t="s">
        <v>6</v>
      </c>
      <c r="G106" s="241" t="e">
        <f>'1770S JP'!G104</f>
        <v>#DIV/0!</v>
      </c>
      <c r="H106" s="44" t="s">
        <v>102</v>
      </c>
      <c r="I106" s="4"/>
      <c r="J106" s="4"/>
      <c r="K106" s="4"/>
      <c r="L106" s="4"/>
      <c r="M106" s="4"/>
      <c r="N106" s="4"/>
      <c r="O106" s="4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1"/>
      <c r="AB106" s="11"/>
      <c r="AC106" s="11"/>
      <c r="AD106" s="11"/>
      <c r="AE106" s="11"/>
      <c r="AF106" s="11"/>
      <c r="AG106" s="46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22"/>
      <c r="AS106" s="11"/>
    </row>
    <row r="107" spans="2:45" s="11" customFormat="1" ht="3" customHeight="1">
      <c r="B107" s="1807"/>
      <c r="C107" s="1808"/>
      <c r="D107" s="1809"/>
      <c r="E107" s="49"/>
      <c r="F107" s="210"/>
      <c r="G107" s="50"/>
      <c r="H107" s="107"/>
      <c r="I107" s="50"/>
      <c r="J107" s="50"/>
      <c r="K107" s="50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8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22"/>
      <c r="AS107" s="11"/>
    </row>
    <row r="108" spans="2:44" s="11" customFormat="1" ht="14.25" customHeight="1">
      <c r="B108" s="1807"/>
      <c r="C108" s="1808"/>
      <c r="D108" s="1809"/>
      <c r="E108" s="11"/>
      <c r="F108" s="41" t="s">
        <v>7</v>
      </c>
      <c r="G108" s="241" t="e">
        <f>'1770S JP'!G106</f>
        <v>#DIV/0!</v>
      </c>
      <c r="H108" s="44" t="s">
        <v>11</v>
      </c>
      <c r="I108" s="5"/>
      <c r="J108" s="5"/>
      <c r="K108" s="5"/>
      <c r="L108" s="5"/>
      <c r="M108" s="5"/>
      <c r="N108" s="5"/>
      <c r="O108" s="5"/>
      <c r="P108" s="5"/>
      <c r="Q108" s="5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5"/>
      <c r="AF108" s="5"/>
      <c r="AG108" s="8"/>
      <c r="AH108" s="11"/>
      <c r="AI108" s="11"/>
      <c r="AJ108" s="11"/>
      <c r="AK108" s="11"/>
      <c r="AL108" s="11"/>
      <c r="AM108" s="4"/>
      <c r="AN108" s="4"/>
      <c r="AO108" s="11"/>
      <c r="AP108" s="11"/>
      <c r="AQ108" s="11"/>
      <c r="AR108" s="122"/>
    </row>
    <row r="109" spans="2:44" s="11" customFormat="1" ht="4" customHeight="1">
      <c r="B109" s="1810"/>
      <c r="C109" s="1811"/>
      <c r="D109" s="1812"/>
      <c r="E109" s="130"/>
      <c r="F109" s="128"/>
      <c r="G109" s="128"/>
      <c r="H109" s="128"/>
      <c r="I109" s="128"/>
      <c r="J109" s="128"/>
      <c r="K109" s="128"/>
      <c r="L109" s="128"/>
      <c r="M109" s="128"/>
      <c r="N109" s="128"/>
      <c r="O109" s="128"/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  <c r="Z109" s="128"/>
      <c r="AA109" s="128"/>
      <c r="AB109" s="128"/>
      <c r="AC109" s="128"/>
      <c r="AD109" s="128"/>
      <c r="AE109" s="128"/>
      <c r="AF109" s="128"/>
      <c r="AG109" s="128"/>
      <c r="AH109" s="128"/>
      <c r="AI109" s="128"/>
      <c r="AJ109" s="128"/>
      <c r="AK109" s="128"/>
      <c r="AL109" s="128"/>
      <c r="AM109" s="128"/>
      <c r="AN109" s="128"/>
      <c r="AO109" s="128"/>
      <c r="AP109" s="128"/>
      <c r="AQ109" s="128"/>
      <c r="AR109" s="129"/>
    </row>
    <row r="110" spans="2:44" s="11" customFormat="1" ht="3" customHeight="1">
      <c r="B110" s="2527" t="s">
        <v>95</v>
      </c>
      <c r="C110" s="2528"/>
      <c r="D110" s="2529"/>
      <c r="E110" s="132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  <c r="AA110" s="133"/>
      <c r="AB110" s="133"/>
      <c r="AC110" s="133"/>
      <c r="AD110" s="133"/>
      <c r="AE110" s="133"/>
      <c r="AF110" s="133"/>
      <c r="AG110" s="133"/>
      <c r="AH110" s="133"/>
      <c r="AI110" s="133"/>
      <c r="AJ110" s="133"/>
      <c r="AK110" s="133"/>
      <c r="AL110" s="133"/>
      <c r="AM110" s="133"/>
      <c r="AN110" s="133"/>
      <c r="AO110" s="133"/>
      <c r="AP110" s="133"/>
      <c r="AQ110" s="133"/>
      <c r="AR110" s="135"/>
    </row>
    <row r="111" spans="2:51" s="11" customFormat="1" ht="17.25" customHeight="1">
      <c r="B111" s="2530"/>
      <c r="C111" s="2531"/>
      <c r="D111" s="2532"/>
      <c r="E111" s="41" t="s">
        <v>6</v>
      </c>
      <c r="F111" s="241" t="str">
        <f>'1770S JP'!F109</f>
        <v/>
      </c>
      <c r="G111" s="44" t="s">
        <v>152</v>
      </c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11"/>
      <c r="Y111" s="11"/>
      <c r="Z111" s="41" t="s">
        <v>145</v>
      </c>
      <c r="AA111" s="241" t="str">
        <f>'1770S JP'!AA109</f>
        <v> </v>
      </c>
      <c r="AB111" s="2522" t="s">
        <v>416</v>
      </c>
      <c r="AC111" s="2522"/>
      <c r="AD111" s="2522"/>
      <c r="AE111" s="2522"/>
      <c r="AF111" s="2522"/>
      <c r="AG111" s="2522"/>
      <c r="AH111" s="2522"/>
      <c r="AI111" s="2522"/>
      <c r="AJ111" s="2522"/>
      <c r="AK111" s="2522"/>
      <c r="AL111" s="2522"/>
      <c r="AM111" s="2522"/>
      <c r="AN111" s="2522"/>
      <c r="AO111" s="2522"/>
      <c r="AP111" s="2522"/>
      <c r="AQ111" s="2522"/>
      <c r="AR111" s="2536"/>
      <c r="AY111" s="11"/>
    </row>
    <row r="112" spans="2:51" s="11" customFormat="1" ht="3.75" customHeight="1">
      <c r="B112" s="2530"/>
      <c r="C112" s="2531"/>
      <c r="D112" s="2532"/>
      <c r="E112" s="41"/>
      <c r="F112" s="210"/>
      <c r="G112" s="4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11"/>
      <c r="Y112" s="11"/>
      <c r="Z112" s="41"/>
      <c r="AA112" s="210"/>
      <c r="AB112" s="2522"/>
      <c r="AC112" s="2522"/>
      <c r="AD112" s="2522"/>
      <c r="AE112" s="2522"/>
      <c r="AF112" s="2522"/>
      <c r="AG112" s="2522"/>
      <c r="AH112" s="2522"/>
      <c r="AI112" s="2522"/>
      <c r="AJ112" s="2522"/>
      <c r="AK112" s="2522"/>
      <c r="AL112" s="2522"/>
      <c r="AM112" s="2522"/>
      <c r="AN112" s="2522"/>
      <c r="AO112" s="2522"/>
      <c r="AP112" s="2522"/>
      <c r="AQ112" s="2522"/>
      <c r="AR112" s="2536"/>
      <c r="AY112" s="11"/>
    </row>
    <row r="113" spans="2:51" s="11" customFormat="1" ht="15" customHeight="1">
      <c r="B113" s="2530"/>
      <c r="C113" s="2531"/>
      <c r="D113" s="2532"/>
      <c r="E113" s="41" t="s">
        <v>7</v>
      </c>
      <c r="F113" s="241" t="str">
        <f>'1770S JP'!F111</f>
        <v> </v>
      </c>
      <c r="G113" s="44" t="s">
        <v>172</v>
      </c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11"/>
      <c r="Y113" s="11"/>
      <c r="Z113" s="41" t="s">
        <v>146</v>
      </c>
      <c r="AA113" s="241" t="str">
        <f>'1770S JP'!AA111</f>
        <v> </v>
      </c>
      <c r="AB113" s="2537" t="str">
        <f>IF('GENERAL INFO'!AD52=0, "", 'GENERAL INFO'!AD52)</f>
        <v/>
      </c>
      <c r="AC113" s="2538"/>
      <c r="AD113" s="2538">
        <f>IF('GENERAL INFO'!J52=" ","…………………………………………………...",'GENERAL INFO'!J52)</f>
        <v>0</v>
      </c>
      <c r="AE113" s="2538"/>
      <c r="AF113" s="2538">
        <f>IF('GENERAL INFO'!L52=" ","…………………………………………………...",'GENERAL INFO'!L52)</f>
        <v>0</v>
      </c>
      <c r="AG113" s="2538"/>
      <c r="AH113" s="2538">
        <f>IF('GENERAL INFO'!N52=" ","…………………………………………………...",'GENERAL INFO'!N52)</f>
        <v>0</v>
      </c>
      <c r="AI113" s="2538"/>
      <c r="AJ113" s="2538">
        <f>IF('GENERAL INFO'!P52=" ","…………………………………………………...",'GENERAL INFO'!P52)</f>
        <v>0</v>
      </c>
      <c r="AK113" s="2538"/>
      <c r="AL113" s="2538">
        <f>IF('GENERAL INFO'!R52=" ","…………………………………………………...",'GENERAL INFO'!R52)</f>
        <v>0</v>
      </c>
      <c r="AM113" s="2538"/>
      <c r="AN113" s="2538">
        <f>IF('GENERAL INFO'!T52=" ","…………………………………………………...",'GENERAL INFO'!T52)</f>
        <v>0</v>
      </c>
      <c r="AO113" s="2538"/>
      <c r="AP113" s="2538">
        <f>IF('GENERAL INFO'!V52=" ","…………………………………………………...",'GENERAL INFO'!V52)</f>
        <v>0</v>
      </c>
      <c r="AQ113" s="2538"/>
      <c r="AR113" s="122"/>
      <c r="AY113" s="11"/>
    </row>
    <row r="114" spans="2:44" s="11" customFormat="1" ht="2.15" customHeight="1">
      <c r="B114" s="2530"/>
      <c r="C114" s="2531"/>
      <c r="D114" s="2532"/>
      <c r="E114" s="41"/>
      <c r="F114" s="210"/>
      <c r="G114" s="4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11"/>
      <c r="Y114" s="11"/>
      <c r="Z114" s="41"/>
      <c r="AA114" s="50"/>
      <c r="AB114" s="44"/>
      <c r="AC114" s="4"/>
      <c r="AD114" s="4"/>
      <c r="AE114" s="4"/>
      <c r="AF114" s="4"/>
      <c r="AG114" s="4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22"/>
    </row>
    <row r="115" spans="2:44" s="11" customFormat="1" ht="15" customHeight="1">
      <c r="B115" s="2530"/>
      <c r="C115" s="2531"/>
      <c r="D115" s="2532"/>
      <c r="E115" s="121" t="s">
        <v>8</v>
      </c>
      <c r="F115" s="241" t="str">
        <f>'1770S JP'!F113</f>
        <v> </v>
      </c>
      <c r="G115" s="44" t="s">
        <v>24</v>
      </c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34"/>
      <c r="T115" s="34"/>
      <c r="U115" s="4"/>
      <c r="V115" s="34"/>
      <c r="W115" s="34"/>
      <c r="X115" s="34"/>
      <c r="Y115" s="34"/>
      <c r="Z115" s="34"/>
      <c r="AA115" s="34"/>
      <c r="AB115" s="1860" t="str">
        <f>IF('GENERAL INFO'!AD54&lt;&gt;"",'GENERAL INFO'!AD54,"")</f>
        <v/>
      </c>
      <c r="AC115" s="1860"/>
      <c r="AD115" s="1860"/>
      <c r="AE115" s="1860"/>
      <c r="AF115" s="1860"/>
      <c r="AG115" s="1860"/>
      <c r="AH115" s="1860"/>
      <c r="AI115" s="1860"/>
      <c r="AJ115" s="1860"/>
      <c r="AK115" s="1860"/>
      <c r="AL115" s="1860"/>
      <c r="AM115" s="1860"/>
      <c r="AN115" s="1860"/>
      <c r="AO115" s="1860"/>
      <c r="AP115" s="1860"/>
      <c r="AQ115" s="11"/>
      <c r="AR115" s="122"/>
    </row>
    <row r="116" spans="2:44" s="11" customFormat="1" ht="4" customHeight="1">
      <c r="B116" s="2533"/>
      <c r="C116" s="2534"/>
      <c r="D116" s="2535"/>
      <c r="E116" s="130"/>
      <c r="F116" s="128"/>
      <c r="G116" s="128"/>
      <c r="H116" s="128"/>
      <c r="I116" s="128"/>
      <c r="J116" s="128"/>
      <c r="K116" s="128"/>
      <c r="L116" s="128"/>
      <c r="M116" s="128"/>
      <c r="N116" s="128"/>
      <c r="O116" s="128"/>
      <c r="P116" s="128"/>
      <c r="Q116" s="128"/>
      <c r="R116" s="128"/>
      <c r="S116" s="128"/>
      <c r="T116" s="128"/>
      <c r="U116" s="128"/>
      <c r="V116" s="128"/>
      <c r="W116" s="128"/>
      <c r="X116" s="128"/>
      <c r="Y116" s="128"/>
      <c r="Z116" s="128"/>
      <c r="AA116" s="128"/>
      <c r="AB116" s="128"/>
      <c r="AC116" s="128"/>
      <c r="AD116" s="128"/>
      <c r="AE116" s="128"/>
      <c r="AF116" s="128"/>
      <c r="AG116" s="128"/>
      <c r="AH116" s="128"/>
      <c r="AI116" s="128"/>
      <c r="AJ116" s="128"/>
      <c r="AK116" s="128"/>
      <c r="AL116" s="128"/>
      <c r="AM116" s="128"/>
      <c r="AN116" s="128"/>
      <c r="AO116" s="128"/>
      <c r="AP116" s="128"/>
      <c r="AQ116" s="128"/>
      <c r="AR116" s="129"/>
    </row>
    <row r="117" spans="2:44" s="11" customFormat="1" ht="13.5" customHeight="1">
      <c r="B117" s="1841" t="s">
        <v>89</v>
      </c>
      <c r="C117" s="1842"/>
      <c r="D117" s="1842"/>
      <c r="E117" s="1842"/>
      <c r="F117" s="1842"/>
      <c r="G117" s="1842"/>
      <c r="H117" s="1842"/>
      <c r="I117" s="1842"/>
      <c r="J117" s="1842"/>
      <c r="K117" s="1842"/>
      <c r="L117" s="1842"/>
      <c r="M117" s="1842"/>
      <c r="N117" s="1842"/>
      <c r="O117" s="1842"/>
      <c r="P117" s="1842"/>
      <c r="Q117" s="1842"/>
      <c r="R117" s="1842"/>
      <c r="S117" s="1842"/>
      <c r="T117" s="1842"/>
      <c r="U117" s="1842"/>
      <c r="V117" s="1842"/>
      <c r="W117" s="1842"/>
      <c r="X117" s="1842"/>
      <c r="Y117" s="1842"/>
      <c r="Z117" s="1842"/>
      <c r="AA117" s="1842"/>
      <c r="AB117" s="1842"/>
      <c r="AC117" s="1842"/>
      <c r="AD117" s="1842"/>
      <c r="AE117" s="1842"/>
      <c r="AF117" s="1842"/>
      <c r="AG117" s="1842"/>
      <c r="AH117" s="1842"/>
      <c r="AI117" s="1842"/>
      <c r="AJ117" s="1842"/>
      <c r="AK117" s="1842"/>
      <c r="AL117" s="1842"/>
      <c r="AM117" s="1842"/>
      <c r="AN117" s="1842"/>
      <c r="AO117" s="1842"/>
      <c r="AP117" s="1842"/>
      <c r="AQ117" s="1842"/>
      <c r="AR117" s="1843"/>
    </row>
    <row r="118" spans="2:45" s="11" customFormat="1" ht="13" customHeight="1">
      <c r="B118" s="123" t="s">
        <v>134</v>
      </c>
      <c r="C118" s="93"/>
      <c r="D118" s="93"/>
      <c r="E118" s="93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93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85"/>
      <c r="AB118" s="85"/>
      <c r="AC118" s="2539" t="s">
        <v>12</v>
      </c>
      <c r="AD118" s="2539"/>
      <c r="AE118" s="2539"/>
      <c r="AF118" s="2539"/>
      <c r="AG118" s="2539"/>
      <c r="AH118" s="2539"/>
      <c r="AI118" s="2539"/>
      <c r="AJ118" s="2539"/>
      <c r="AK118" s="2539"/>
      <c r="AL118" s="2539"/>
      <c r="AM118" s="2539"/>
      <c r="AN118" s="2539"/>
      <c r="AO118" s="2539"/>
      <c r="AP118" s="2539"/>
      <c r="AQ118" s="2539"/>
      <c r="AR118" s="64"/>
      <c r="AS118" s="4"/>
    </row>
    <row r="119" spans="2:45" s="11" customFormat="1" ht="13" customHeight="1">
      <c r="B119" s="123" t="s">
        <v>418</v>
      </c>
      <c r="C119" s="93"/>
      <c r="D119" s="93"/>
      <c r="E119" s="93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93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85"/>
      <c r="AB119" s="85"/>
      <c r="AC119" s="2539"/>
      <c r="AD119" s="2539"/>
      <c r="AE119" s="2539"/>
      <c r="AF119" s="2539"/>
      <c r="AG119" s="2539"/>
      <c r="AH119" s="2539"/>
      <c r="AI119" s="2539"/>
      <c r="AJ119" s="2539"/>
      <c r="AK119" s="2539"/>
      <c r="AL119" s="2539"/>
      <c r="AM119" s="2539"/>
      <c r="AN119" s="2539"/>
      <c r="AO119" s="2539"/>
      <c r="AP119" s="2539"/>
      <c r="AQ119" s="2539"/>
      <c r="AR119" s="64"/>
      <c r="AS119" s="4"/>
    </row>
    <row r="120" spans="2:45" s="11" customFormat="1" ht="13" customHeight="1">
      <c r="B120" s="123" t="s">
        <v>417</v>
      </c>
      <c r="C120" s="93"/>
      <c r="D120" s="93"/>
      <c r="E120" s="93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93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85"/>
      <c r="AB120" s="85"/>
      <c r="AC120" s="1331"/>
      <c r="AD120" s="133"/>
      <c r="AE120" s="133"/>
      <c r="AF120" s="133"/>
      <c r="AG120" s="139"/>
      <c r="AH120" s="139"/>
      <c r="AI120" s="139"/>
      <c r="AJ120" s="139"/>
      <c r="AK120" s="139"/>
      <c r="AL120" s="139"/>
      <c r="AM120" s="139"/>
      <c r="AN120" s="139"/>
      <c r="AO120" s="139"/>
      <c r="AP120" s="139"/>
      <c r="AQ120" s="1332"/>
      <c r="AR120" s="124"/>
      <c r="AS120" s="4"/>
    </row>
    <row r="121" spans="2:45" s="11" customFormat="1" ht="6.75" customHeight="1">
      <c r="B121" s="57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57"/>
      <c r="AD121" s="4"/>
      <c r="AE121" s="4"/>
      <c r="AF121" s="4"/>
      <c r="AG121" s="4"/>
      <c r="AH121" s="11"/>
      <c r="AI121" s="11"/>
      <c r="AJ121" s="11"/>
      <c r="AK121" s="11"/>
      <c r="AL121" s="4"/>
      <c r="AM121" s="4"/>
      <c r="AN121" s="4"/>
      <c r="AO121" s="4"/>
      <c r="AP121" s="4"/>
      <c r="AQ121" s="64"/>
      <c r="AR121" s="64"/>
      <c r="AS121" s="4"/>
    </row>
    <row r="122" spans="2:45" s="11" customFormat="1" ht="20.15" customHeight="1">
      <c r="B122" s="125"/>
      <c r="C122" s="240" t="str">
        <f>'1770S JP'!C120</f>
        <v>X</v>
      </c>
      <c r="D122" s="44" t="s">
        <v>13</v>
      </c>
      <c r="E122" s="11"/>
      <c r="F122" s="11"/>
      <c r="G122" s="11"/>
      <c r="H122" s="11"/>
      <c r="I122" s="260" t="str">
        <f>'1770S JP'!I120</f>
        <v> </v>
      </c>
      <c r="J122" s="44" t="s">
        <v>14</v>
      </c>
      <c r="K122" s="62"/>
      <c r="L122" s="62"/>
      <c r="M122" s="62"/>
      <c r="N122" s="44" t="s">
        <v>50</v>
      </c>
      <c r="O122" s="62"/>
      <c r="P122" s="11"/>
      <c r="Q122" s="11"/>
      <c r="R122" s="303"/>
      <c r="S122" s="303"/>
      <c r="T122" s="11"/>
      <c r="U122" s="303"/>
      <c r="V122" s="303"/>
      <c r="W122" s="11"/>
      <c r="X122" s="303"/>
      <c r="Y122" s="303"/>
      <c r="Z122" s="303"/>
      <c r="AA122" s="303"/>
      <c r="AB122" s="11"/>
      <c r="AC122" s="125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22"/>
      <c r="AR122" s="122"/>
      <c r="AS122" s="11"/>
    </row>
    <row r="123" spans="2:45" s="11" customFormat="1" ht="13" customHeight="1">
      <c r="B123" s="125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2526" t="s">
        <v>56</v>
      </c>
      <c r="S123" s="2526"/>
      <c r="T123" s="62"/>
      <c r="U123" s="2526" t="s">
        <v>57</v>
      </c>
      <c r="V123" s="2526"/>
      <c r="W123" s="62"/>
      <c r="X123" s="2526" t="s">
        <v>58</v>
      </c>
      <c r="Y123" s="2526"/>
      <c r="Z123" s="2526"/>
      <c r="AA123" s="2526"/>
      <c r="AB123" s="11"/>
      <c r="AC123" s="1333"/>
      <c r="AD123" s="5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22"/>
      <c r="AR123" s="122"/>
      <c r="AS123" s="11"/>
    </row>
    <row r="124" spans="2:45" s="11" customFormat="1" ht="20.15" customHeight="1">
      <c r="B124" s="118" t="s">
        <v>34</v>
      </c>
      <c r="C124" s="44"/>
      <c r="D124" s="44"/>
      <c r="E124" s="44"/>
      <c r="F124" s="62"/>
      <c r="G124" s="62" t="s">
        <v>26</v>
      </c>
      <c r="H124" s="1335" t="str">
        <f>UPPER(name)</f>
        <v>0</v>
      </c>
      <c r="I124" s="1328"/>
      <c r="J124" s="1328"/>
      <c r="K124" s="1328"/>
      <c r="L124" s="1328"/>
      <c r="M124" s="1328"/>
      <c r="N124" s="1328"/>
      <c r="O124" s="1328"/>
      <c r="P124" s="1328"/>
      <c r="Q124" s="1328"/>
      <c r="R124" s="1328"/>
      <c r="S124" s="1328"/>
      <c r="T124" s="1328"/>
      <c r="U124" s="1328"/>
      <c r="V124" s="1328"/>
      <c r="W124" s="1328"/>
      <c r="X124" s="1328"/>
      <c r="Y124" s="1328"/>
      <c r="Z124" s="1328"/>
      <c r="AA124" s="1328"/>
      <c r="AB124" s="11"/>
      <c r="AC124" s="125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22"/>
      <c r="AR124" s="122"/>
      <c r="AS124" s="11"/>
    </row>
    <row r="125" spans="2:45" s="11" customFormat="1" ht="4" customHeight="1">
      <c r="B125" s="126"/>
      <c r="C125" s="62"/>
      <c r="D125" s="62"/>
      <c r="E125" s="62"/>
      <c r="F125" s="62"/>
      <c r="G125" s="62"/>
      <c r="H125" s="71"/>
      <c r="I125" s="71"/>
      <c r="J125" s="71"/>
      <c r="K125" s="71"/>
      <c r="L125" s="71"/>
      <c r="M125" s="71"/>
      <c r="N125" s="71"/>
      <c r="O125" s="71"/>
      <c r="P125" s="71"/>
      <c r="Q125" s="71"/>
      <c r="R125" s="71"/>
      <c r="S125" s="71"/>
      <c r="T125" s="71"/>
      <c r="U125" s="71"/>
      <c r="V125" s="71"/>
      <c r="W125" s="71"/>
      <c r="X125" s="71"/>
      <c r="Y125" s="71"/>
      <c r="Z125" s="71"/>
      <c r="AA125" s="71"/>
      <c r="AB125" s="11"/>
      <c r="AC125" s="125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22"/>
      <c r="AR125" s="122"/>
      <c r="AS125" s="11"/>
    </row>
    <row r="126" spans="2:45" s="11" customFormat="1" ht="20.15" customHeight="1">
      <c r="B126" s="118" t="s">
        <v>33</v>
      </c>
      <c r="C126" s="44"/>
      <c r="D126" s="44"/>
      <c r="E126" s="44"/>
      <c r="F126" s="62"/>
      <c r="G126" s="62" t="s">
        <v>26</v>
      </c>
      <c r="H126" s="1421" t="str">
        <f>'1770S JP'!H124</f>
        <v/>
      </c>
      <c r="I126" s="1421" t="str">
        <f>'1770S JP'!I124</f>
        <v/>
      </c>
      <c r="J126" s="71"/>
      <c r="K126" s="1421" t="str">
        <f>'1770S JP'!K124</f>
        <v/>
      </c>
      <c r="L126" s="1421" t="str">
        <f>'1770S JP'!L124</f>
        <v/>
      </c>
      <c r="M126" s="1421" t="str">
        <f>'1770S JP'!M124</f>
        <v/>
      </c>
      <c r="N126" s="71"/>
      <c r="O126" s="1421" t="str">
        <f>'1770S JP'!O124</f>
        <v/>
      </c>
      <c r="P126" s="1421" t="str">
        <f>'1770S JP'!P124</f>
        <v/>
      </c>
      <c r="Q126" s="1421" t="str">
        <f>'1770S JP'!Q124</f>
        <v/>
      </c>
      <c r="R126" s="71"/>
      <c r="S126" s="1421" t="str">
        <f>'1770S JP'!S124</f>
        <v/>
      </c>
      <c r="T126" s="71"/>
      <c r="U126" s="1421" t="str">
        <f>'1770S JP'!U124</f>
        <v/>
      </c>
      <c r="V126" s="1421" t="str">
        <f>'1770S JP'!V124</f>
        <v/>
      </c>
      <c r="W126" s="1421" t="str">
        <f>'1770S JP'!W124</f>
        <v/>
      </c>
      <c r="X126" s="71"/>
      <c r="Y126" s="1421" t="str">
        <f>'1770S JP'!Y124</f>
        <v/>
      </c>
      <c r="Z126" s="1421" t="str">
        <f>'1770S JP'!Z124</f>
        <v/>
      </c>
      <c r="AA126" s="1421" t="str">
        <f>'1770S JP'!AA124</f>
        <v/>
      </c>
      <c r="AB126" s="11"/>
      <c r="AC126" s="1334"/>
      <c r="AD126" s="128"/>
      <c r="AE126" s="128"/>
      <c r="AF126" s="128"/>
      <c r="AG126" s="128"/>
      <c r="AH126" s="128"/>
      <c r="AI126" s="128"/>
      <c r="AJ126" s="128"/>
      <c r="AK126" s="128"/>
      <c r="AL126" s="128"/>
      <c r="AM126" s="128"/>
      <c r="AN126" s="128"/>
      <c r="AO126" s="128"/>
      <c r="AP126" s="128"/>
      <c r="AQ126" s="129"/>
      <c r="AR126" s="122"/>
      <c r="AS126" s="11"/>
    </row>
    <row r="127" spans="2:45" s="11" customFormat="1" ht="15" customHeight="1">
      <c r="B127" s="127"/>
      <c r="C127" s="43"/>
      <c r="D127" s="43"/>
      <c r="E127" s="43"/>
      <c r="F127" s="128"/>
      <c r="G127" s="128"/>
      <c r="H127" s="128"/>
      <c r="I127" s="128"/>
      <c r="J127" s="128"/>
      <c r="K127" s="128"/>
      <c r="L127" s="128"/>
      <c r="M127" s="128"/>
      <c r="N127" s="128"/>
      <c r="O127" s="128"/>
      <c r="P127" s="128"/>
      <c r="Q127" s="128"/>
      <c r="R127" s="128"/>
      <c r="S127" s="128"/>
      <c r="T127" s="128"/>
      <c r="U127" s="128"/>
      <c r="V127" s="128"/>
      <c r="W127" s="128"/>
      <c r="X127" s="128"/>
      <c r="Y127" s="128"/>
      <c r="Z127" s="128"/>
      <c r="AA127" s="128"/>
      <c r="AB127" s="128"/>
      <c r="AC127" s="128"/>
      <c r="AD127" s="128"/>
      <c r="AE127" s="128"/>
      <c r="AF127" s="128"/>
      <c r="AG127" s="128"/>
      <c r="AH127" s="128"/>
      <c r="AI127" s="128"/>
      <c r="AJ127" s="128"/>
      <c r="AK127" s="128"/>
      <c r="AL127" s="128"/>
      <c r="AM127" s="128"/>
      <c r="AN127" s="128"/>
      <c r="AO127" s="128"/>
      <c r="AP127" s="128"/>
      <c r="AQ127" s="128"/>
      <c r="AR127" s="129"/>
      <c r="AS127" s="11"/>
    </row>
    <row r="128" spans="2:45" s="11" customFormat="1" ht="12" customHeight="1">
      <c r="B128" s="35" t="s">
        <v>87</v>
      </c>
      <c r="C128" s="35"/>
      <c r="D128" s="35"/>
      <c r="E128" s="4"/>
      <c r="H128" s="11"/>
      <c r="I128" s="11"/>
      <c r="K128" s="11"/>
      <c r="L128" s="11"/>
      <c r="M128" s="11"/>
      <c r="O128" s="11"/>
      <c r="P128" s="11"/>
      <c r="Q128" s="11"/>
      <c r="S128" s="11"/>
      <c r="U128" s="11"/>
      <c r="V128" s="11"/>
      <c r="W128" s="11"/>
      <c r="Y128" s="11"/>
      <c r="Z128" s="11"/>
      <c r="AA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</row>
    <row r="129" spans="2:45" s="11" customFormat="1" ht="10" customHeight="1">
      <c r="B129" s="20"/>
      <c r="C129" s="11"/>
      <c r="D129" s="11"/>
      <c r="E129" s="11"/>
      <c r="F129" s="11"/>
      <c r="AS129" s="18"/>
    </row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20.25" customHeight="1"/>
    <row r="337" ht="20.25" customHeight="1"/>
    <row r="338" ht="20.25" customHeight="1"/>
    <row r="339" ht="20.25" customHeight="1"/>
    <row r="340" ht="20.25" customHeight="1"/>
    <row r="341" ht="20.25" customHeight="1"/>
    <row r="342" ht="20.25" customHeight="1"/>
    <row r="343" ht="20.25" customHeight="1"/>
    <row r="344" ht="20.25" customHeight="1"/>
    <row r="345" ht="20.25" customHeight="1"/>
    <row r="346" ht="20.25" customHeight="1"/>
    <row r="347" ht="20.25" customHeight="1"/>
    <row r="348" ht="20.25" customHeight="1"/>
    <row r="349" ht="20.25" customHeight="1"/>
    <row r="350" ht="20.25" customHeight="1"/>
    <row r="351" ht="20.25" customHeight="1"/>
    <row r="352" ht="20.25" customHeight="1"/>
    <row r="353" ht="20.25" customHeight="1"/>
    <row r="354" ht="20.25" customHeight="1"/>
    <row r="355" ht="20.25" customHeight="1"/>
    <row r="356" ht="20.25" customHeight="1"/>
    <row r="357" ht="20.25" customHeight="1"/>
    <row r="358" ht="20.25" customHeight="1"/>
    <row r="359" ht="20.25" customHeight="1"/>
    <row r="360" ht="20.25" customHeight="1"/>
    <row r="361" ht="20.25" customHeight="1"/>
    <row r="362" ht="20.25" customHeight="1"/>
    <row r="363" ht="20.25" customHeight="1"/>
    <row r="364" ht="20.25" customHeight="1"/>
    <row r="365" ht="20.25" customHeight="1"/>
    <row r="366" ht="20.25" customHeight="1"/>
    <row r="367" ht="20.25" customHeight="1"/>
    <row r="368" ht="20.25" customHeight="1"/>
    <row r="369" ht="20.25" customHeight="1"/>
    <row r="370" ht="20.25" customHeight="1"/>
    <row r="371" ht="20.25" customHeight="1"/>
    <row r="372" ht="20.25" customHeight="1"/>
    <row r="373" ht="20.25" customHeight="1"/>
    <row r="374" ht="20.25" customHeight="1"/>
    <row r="375" ht="20.25" customHeight="1"/>
    <row r="376" ht="20.25" customHeight="1"/>
    <row r="377" ht="20.25" customHeight="1"/>
    <row r="378" ht="20.25" customHeight="1"/>
    <row r="379" ht="20.25" customHeight="1"/>
    <row r="380" ht="20.25" customHeight="1"/>
    <row r="381" ht="20.25" customHeight="1"/>
    <row r="382" ht="20.25" customHeight="1"/>
    <row r="383" ht="20.25" customHeight="1"/>
    <row r="384" ht="20.25" customHeight="1"/>
    <row r="385" ht="20.25" customHeight="1"/>
    <row r="386" ht="20.25" customHeight="1"/>
    <row r="387" ht="20.25" customHeight="1"/>
    <row r="388" ht="20.25" customHeight="1"/>
    <row r="389" ht="20.25" customHeight="1"/>
    <row r="390" ht="20.25" customHeight="1"/>
    <row r="391" ht="20.25" customHeight="1"/>
    <row r="392" ht="20.25" customHeight="1"/>
    <row r="393" ht="20.25" customHeight="1"/>
    <row r="394" ht="20.25" customHeight="1"/>
    <row r="395" ht="20.25" customHeight="1"/>
    <row r="396" ht="20.25" customHeight="1"/>
    <row r="397" ht="20.25" customHeight="1"/>
    <row r="398" ht="20.25" customHeight="1"/>
    <row r="399" ht="20.25" customHeight="1"/>
    <row r="400" ht="20.25" customHeight="1"/>
    <row r="401" ht="20.25" customHeight="1"/>
    <row r="402" ht="20.25" customHeight="1"/>
    <row r="403" ht="20.25" customHeight="1"/>
    <row r="404" ht="20.25" customHeight="1"/>
    <row r="405" ht="20.25" customHeight="1"/>
    <row r="406" ht="20.25" customHeight="1"/>
    <row r="407" ht="20.25" customHeight="1"/>
    <row r="408" ht="20.25" customHeight="1"/>
    <row r="409" ht="20.25" customHeight="1"/>
    <row r="410" ht="20.25" customHeight="1"/>
    <row r="411" ht="20.25" customHeight="1"/>
    <row r="412" ht="20.25" customHeight="1"/>
    <row r="413" ht="20.25" customHeight="1"/>
    <row r="414" ht="20.25" customHeight="1"/>
    <row r="415" ht="20.25" customHeight="1"/>
    <row r="416" ht="20.25" customHeight="1"/>
    <row r="417" ht="20.25" customHeight="1"/>
    <row r="418" ht="20.25" customHeight="1"/>
    <row r="419" ht="20.25" customHeight="1"/>
    <row r="420" ht="20.25" customHeight="1"/>
    <row r="421" ht="20.25" customHeight="1"/>
    <row r="422" ht="20.25" customHeight="1"/>
    <row r="423" ht="20.25" customHeight="1"/>
    <row r="424" ht="20.25" customHeight="1"/>
    <row r="425" ht="20.25" customHeight="1"/>
    <row r="426" ht="20.25" customHeight="1"/>
    <row r="427" ht="20.25" customHeight="1"/>
    <row r="428" ht="20.25" customHeight="1"/>
    <row r="429" ht="20.25" customHeight="1"/>
    <row r="430" ht="20.25" customHeight="1"/>
    <row r="431" ht="20.25" customHeight="1"/>
    <row r="432" ht="20.25" customHeight="1"/>
    <row r="433" ht="20.25" customHeight="1"/>
    <row r="434" ht="20.25" customHeight="1"/>
    <row r="435" ht="20.25" customHeight="1"/>
    <row r="436" ht="20.25" customHeight="1"/>
    <row r="437" ht="20.25" customHeight="1"/>
    <row r="438" ht="20.25" customHeight="1"/>
    <row r="439" ht="20.25" customHeight="1"/>
    <row r="440" ht="20.25" customHeight="1"/>
    <row r="441" ht="20.25" customHeight="1"/>
    <row r="442" ht="20.25" customHeight="1"/>
    <row r="443" ht="20.25" customHeight="1"/>
    <row r="444" ht="20.25" customHeight="1"/>
    <row r="445" ht="20.25" customHeight="1"/>
    <row r="446" ht="20.25" customHeight="1"/>
    <row r="447" ht="20.25" customHeight="1"/>
    <row r="448" ht="20.25" customHeight="1"/>
    <row r="449" ht="20.25" customHeight="1"/>
    <row r="450" ht="20.25" customHeight="1"/>
    <row r="451" ht="20.25" customHeight="1"/>
    <row r="452" ht="20.25" customHeight="1"/>
    <row r="453" ht="20.25" customHeight="1"/>
    <row r="454" ht="20.25" customHeight="1"/>
    <row r="455" ht="20.25" customHeight="1"/>
    <row r="456" ht="20.25" customHeight="1"/>
    <row r="457" ht="20.25" customHeight="1"/>
    <row r="458" ht="20.25" customHeight="1"/>
    <row r="459" ht="20.25" customHeight="1"/>
    <row r="460" ht="20.25" customHeight="1"/>
    <row r="461" ht="20.25" customHeight="1"/>
    <row r="462" ht="20.25" customHeight="1"/>
    <row r="463" ht="20.25" customHeight="1"/>
    <row r="464" ht="20.25" customHeight="1"/>
    <row r="465" ht="20.25" customHeight="1"/>
    <row r="466" ht="20.25" customHeight="1"/>
    <row r="467" ht="20.25" customHeight="1"/>
    <row r="468" ht="20.25" customHeight="1"/>
    <row r="469" ht="20.25" customHeight="1"/>
    <row r="470" ht="20.25" customHeight="1"/>
    <row r="471" ht="20.25" customHeight="1"/>
    <row r="472" ht="20.25" customHeight="1"/>
    <row r="473" ht="20.25" customHeight="1"/>
    <row r="474" ht="20.25" customHeight="1"/>
    <row r="475" ht="20.25" customHeight="1"/>
    <row r="476" ht="20.25" customHeight="1"/>
    <row r="477" ht="20.25" customHeight="1"/>
    <row r="478" ht="20.25" customHeight="1"/>
    <row r="479" ht="20.25" customHeight="1"/>
    <row r="480" ht="20.25" customHeight="1"/>
    <row r="481" ht="20.25" customHeight="1"/>
    <row r="482" ht="20.25" customHeight="1"/>
    <row r="483" ht="20.25" customHeight="1"/>
    <row r="484" ht="20.25" customHeight="1"/>
    <row r="485" ht="20.25" customHeight="1"/>
    <row r="486" ht="20.25" customHeight="1"/>
    <row r="487" ht="20.25" customHeight="1"/>
    <row r="488" ht="20.25" customHeight="1"/>
    <row r="489" ht="20.25" customHeight="1"/>
  </sheetData>
  <sheetProtection password="BDAF" sheet="1" objects="1" scenarios="1" selectLockedCells="1" selectUnlockedCells="1"/>
  <mergeCells count="90">
    <mergeCell ref="AH92:AQ94"/>
    <mergeCell ref="AG92:AG94"/>
    <mergeCell ref="AG103:AG104"/>
    <mergeCell ref="B117:AR117"/>
    <mergeCell ref="B102:D109"/>
    <mergeCell ref="B87:D101"/>
    <mergeCell ref="AD93:AE94"/>
    <mergeCell ref="AA93:AB94"/>
    <mergeCell ref="X93:Y94"/>
    <mergeCell ref="X89:AE91"/>
    <mergeCell ref="U92:V94"/>
    <mergeCell ref="R123:S123"/>
    <mergeCell ref="U123:V123"/>
    <mergeCell ref="B110:D116"/>
    <mergeCell ref="S115:T115"/>
    <mergeCell ref="AH103:AQ104"/>
    <mergeCell ref="AB111:AR112"/>
    <mergeCell ref="AB113:AQ113"/>
    <mergeCell ref="X123:AA123"/>
    <mergeCell ref="AC118:AQ119"/>
    <mergeCell ref="AB115:AP115"/>
    <mergeCell ref="V103:AE103"/>
    <mergeCell ref="F78:M78"/>
    <mergeCell ref="F69:AF69"/>
    <mergeCell ref="B68:D86"/>
    <mergeCell ref="B57:D66"/>
    <mergeCell ref="S73:T75"/>
    <mergeCell ref="X61:AE61"/>
    <mergeCell ref="S78:AE78"/>
    <mergeCell ref="Y81:AE81"/>
    <mergeCell ref="P84:AE84"/>
    <mergeCell ref="B48:D55"/>
    <mergeCell ref="AG45:AG46"/>
    <mergeCell ref="B30:D47"/>
    <mergeCell ref="AG30:AG31"/>
    <mergeCell ref="W30:AE30"/>
    <mergeCell ref="Q33:AE33"/>
    <mergeCell ref="O36:AE36"/>
    <mergeCell ref="O39:AE39"/>
    <mergeCell ref="T42:AE42"/>
    <mergeCell ref="AB45:AE45"/>
    <mergeCell ref="AN2:AR2"/>
    <mergeCell ref="B26:AR26"/>
    <mergeCell ref="B11:C25"/>
    <mergeCell ref="N2:AI2"/>
    <mergeCell ref="D2:L4"/>
    <mergeCell ref="N3:AI3"/>
    <mergeCell ref="T9:AD9"/>
    <mergeCell ref="AL9:AR9"/>
    <mergeCell ref="AJ2:AJ7"/>
    <mergeCell ref="AK3:AL4"/>
    <mergeCell ref="B2:B7"/>
    <mergeCell ref="C5:M5"/>
    <mergeCell ref="C9:F9"/>
    <mergeCell ref="C6:M6"/>
    <mergeCell ref="E20:J20"/>
    <mergeCell ref="D24:AR24"/>
    <mergeCell ref="AH84:AQ85"/>
    <mergeCell ref="AH69:AQ70"/>
    <mergeCell ref="AH73:AQ75"/>
    <mergeCell ref="AH78:AQ79"/>
    <mergeCell ref="AH81:AQ82"/>
    <mergeCell ref="AG84:AG85"/>
    <mergeCell ref="AG69:AG70"/>
    <mergeCell ref="AG73:AG75"/>
    <mergeCell ref="AG78:AG79"/>
    <mergeCell ref="AG81:AG82"/>
    <mergeCell ref="AG64:AG65"/>
    <mergeCell ref="AG50:AG51"/>
    <mergeCell ref="AH30:AQ31"/>
    <mergeCell ref="AM3:AN4"/>
    <mergeCell ref="AO3:AP4"/>
    <mergeCell ref="AQ3:AR4"/>
    <mergeCell ref="AH39:AQ40"/>
    <mergeCell ref="AG28:AR28"/>
    <mergeCell ref="AG39:AG40"/>
    <mergeCell ref="AG42:AG43"/>
    <mergeCell ref="AG33:AG34"/>
    <mergeCell ref="AG36:AG37"/>
    <mergeCell ref="AH45:AQ46"/>
    <mergeCell ref="AG61:AG62"/>
    <mergeCell ref="AG58:AG59"/>
    <mergeCell ref="AH50:AQ51"/>
    <mergeCell ref="AH53:AQ54"/>
    <mergeCell ref="AH58:AQ59"/>
    <mergeCell ref="AH61:AQ62"/>
    <mergeCell ref="AH64:AQ65"/>
    <mergeCell ref="AH33:AQ34"/>
    <mergeCell ref="AH42:AQ43"/>
    <mergeCell ref="AH36:AQ37"/>
  </mergeCells>
  <printOptions horizontalCentered="1"/>
  <pageMargins left="0.7" right="0.7" top="0.75" bottom="0.75" header="0.3" footer="0.3"/>
  <pageSetup paperSize="5" scale="67" fitToHeight="0" orientation="portrait" r:id="rId1"/>
  <headerFooter alignWithMargins="0">
    <oddHeader>&amp;R&amp;"Arial,Bold"&amp;14C.2.1.&amp;P</oddHeader>
    <oddFooter>&amp;L&amp;8Page &amp;P of &amp;N&amp;R&amp;8Printed on &amp;D,&amp;T</oddFooter>
  </headerFooter>
</worksheet>
</file>

<file path=xl/worksheets/sheet16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00b0f0"/>
    <pageSetUpPr fitToPage="1"/>
  </sheetPr>
  <dimension ref="A1:BC119"/>
  <sheetViews>
    <sheetView topLeftCell="A84" showGridLines="0" zoomScaleNormal="75" zoomScaleSheetLayoutView="100" view="pageBreakPreview" workbookViewId="0">
      <selection pane="topLeft" activeCell="X108" sqref="X108"/>
    </sheetView>
  </sheetViews>
  <sheetFormatPr defaultColWidth="3.7109375" customHeight="1" defaultRowHeight="10" baseColWidth="0"/>
  <cols>
    <col min="1" max="1" width="3.7109375" customWidth="1"/>
    <col min="2" max="2" width="3.99609375" customWidth="1"/>
    <col min="3" max="11" width="3.7109375" customWidth="1"/>
    <col min="12" max="12" width="3.7109375" style="22" customWidth="1"/>
    <col min="31" max="31" width="3.7109375" customWidth="1"/>
    <col min="33" max="33" width="3.8515625" customWidth="1"/>
    <col min="34" max="35" width="3.7109375" customWidth="1"/>
    <col min="36" max="36" width="3.8515625" customWidth="1"/>
    <col min="37" max="37" width="3.99609375" customWidth="1"/>
  </cols>
  <sheetData>
    <row r="1" spans="1:41" customHeight="1">
      <c r="A1" s="1"/>
      <c r="AO1" s="1"/>
    </row>
    <row r="2" spans="1:39" ht="15" customHeight="1">
      <c r="A2"/>
      <c r="B2" s="1772" t="s">
        <v>38</v>
      </c>
      <c r="C2" s="70"/>
      <c r="D2" s="1774" t="s">
        <v>82</v>
      </c>
      <c r="E2" s="1774"/>
      <c r="F2" s="1774"/>
      <c r="G2" s="1774"/>
      <c r="H2" s="1774"/>
      <c r="I2" s="1774"/>
      <c r="J2" s="1774"/>
      <c r="K2" s="1774"/>
      <c r="L2" s="83"/>
      <c r="M2" s="1882" t="s">
        <v>150</v>
      </c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1883"/>
      <c r="AD2" s="1795" t="s">
        <v>29</v>
      </c>
      <c r="AE2" s="1772"/>
      <c r="AF2"/>
      <c r="AG2"/>
      <c r="AH2"/>
      <c r="AI2"/>
      <c r="AJ2"/>
      <c r="AK2"/>
      <c r="AL2"/>
      <c r="AM2"/>
    </row>
    <row r="3" spans="2:39" ht="20.15" customHeight="1" thickBot="1">
      <c r="B3" s="1772"/>
      <c r="C3" s="25"/>
      <c r="D3" s="1774"/>
      <c r="E3" s="1774"/>
      <c r="F3" s="1774"/>
      <c r="G3" s="1774"/>
      <c r="H3" s="1774"/>
      <c r="I3" s="1774"/>
      <c r="J3" s="1774"/>
      <c r="K3" s="1774"/>
      <c r="L3" s="83"/>
      <c r="M3" s="1886" t="s">
        <v>55</v>
      </c>
      <c r="N3" s="1887"/>
      <c r="O3" s="1887"/>
      <c r="P3" s="1887"/>
      <c r="Q3" s="1887"/>
      <c r="R3" s="1887"/>
      <c r="S3" s="1887"/>
      <c r="T3" s="1887"/>
      <c r="U3" s="1887"/>
      <c r="V3" s="1887"/>
      <c r="W3" s="1887"/>
      <c r="X3" s="1887"/>
      <c r="Y3" s="1887"/>
      <c r="Z3" s="1887"/>
      <c r="AA3" s="1887"/>
      <c r="AB3" s="1887"/>
      <c r="AC3" s="1888"/>
      <c r="AD3" s="1795"/>
      <c r="AE3" s="1772"/>
      <c r="AF3" s="1874" t="s">
        <v>201</v>
      </c>
      <c r="AG3" s="1874"/>
      <c r="AH3" s="1874" t="s">
        <v>202</v>
      </c>
      <c r="AI3" s="1874"/>
      <c r="AJ3" s="1873">
        <f>'1770 S-1 JP'!AJ3:AK4</f>
        <v>0</v>
      </c>
      <c r="AK3" s="1874"/>
      <c r="AL3" s="1873">
        <f>'1770 S-1 JP'!AL3:AM4</f>
        <v>0</v>
      </c>
      <c r="AM3" s="1874"/>
    </row>
    <row r="4" spans="2:40" ht="15" customHeight="1">
      <c r="B4" s="1772"/>
      <c r="C4" s="25"/>
      <c r="D4" s="1774"/>
      <c r="E4" s="1774"/>
      <c r="F4" s="1774"/>
      <c r="G4" s="1774"/>
      <c r="H4" s="1774"/>
      <c r="I4" s="1774"/>
      <c r="J4" s="1774"/>
      <c r="K4" s="1774"/>
      <c r="L4" s="83"/>
      <c r="M4" s="116" t="s">
        <v>23</v>
      </c>
      <c r="N4" s="44" t="s">
        <v>16</v>
      </c>
      <c r="O4" s="4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53"/>
      <c r="AC4" s="52"/>
      <c r="AD4" s="1795"/>
      <c r="AE4" s="1772"/>
      <c r="AF4" s="1874"/>
      <c r="AG4" s="1874"/>
      <c r="AH4" s="1874"/>
      <c r="AI4" s="1874"/>
      <c r="AJ4" s="1874"/>
      <c r="AK4" s="1874"/>
      <c r="AL4" s="1874"/>
      <c r="AM4" s="1874"/>
      <c r="AN4" s="25"/>
    </row>
    <row r="5" spans="2:41" ht="15" customHeight="1">
      <c r="B5" s="1772"/>
      <c r="C5" s="1875" t="s">
        <v>454</v>
      </c>
      <c r="D5" s="1875"/>
      <c r="E5" s="1875"/>
      <c r="F5" s="1875"/>
      <c r="G5" s="1875"/>
      <c r="H5" s="1875"/>
      <c r="I5" s="1875"/>
      <c r="J5" s="1875"/>
      <c r="K5" s="1875"/>
      <c r="L5" s="1876"/>
      <c r="M5" s="116" t="s">
        <v>23</v>
      </c>
      <c r="N5" s="44" t="s">
        <v>32</v>
      </c>
      <c r="O5" s="4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6"/>
      <c r="AD5" s="1795"/>
      <c r="AE5" s="1772"/>
      <c r="AF5"/>
      <c r="AG5"/>
      <c r="AH5"/>
      <c r="AI5"/>
      <c r="AJ5"/>
      <c r="AK5"/>
      <c r="AL5"/>
      <c r="AM5"/>
      <c r="AN5" s="25"/>
      <c r="AO5"/>
    </row>
    <row r="6" spans="2:41" ht="15" customHeight="1">
      <c r="B6" s="1772"/>
      <c r="C6" s="1875" t="s">
        <v>31</v>
      </c>
      <c r="D6" s="1875"/>
      <c r="E6" s="1875"/>
      <c r="F6" s="1875"/>
      <c r="G6" s="1875"/>
      <c r="H6" s="1875"/>
      <c r="I6" s="1875"/>
      <c r="J6" s="1875"/>
      <c r="K6" s="1875"/>
      <c r="L6" s="1876"/>
      <c r="M6" s="211" t="s">
        <v>23</v>
      </c>
      <c r="N6" s="44" t="s">
        <v>419</v>
      </c>
      <c r="O6" s="4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6"/>
      <c r="AD6" s="1795"/>
      <c r="AE6" s="1772"/>
      <c r="AF6" s="40"/>
      <c r="AG6" s="40"/>
      <c r="AH6" s="40"/>
      <c r="AI6" s="40"/>
      <c r="AJ6" s="25"/>
      <c r="AK6" s="25"/>
      <c r="AL6" s="25"/>
      <c r="AM6" s="25"/>
      <c r="AN6"/>
      <c r="AO6"/>
    </row>
    <row r="7" spans="2:41" ht="15" customHeight="1" thickBot="1">
      <c r="B7" s="1773"/>
      <c r="C7" s="51"/>
      <c r="D7" s="51"/>
      <c r="E7" s="51"/>
      <c r="F7" s="51"/>
      <c r="G7" s="51"/>
      <c r="H7" s="51"/>
      <c r="I7" s="51"/>
      <c r="J7" s="51"/>
      <c r="K7" s="51"/>
      <c r="L7" s="60"/>
      <c r="M7" s="212"/>
      <c r="N7" s="213" t="s">
        <v>420</v>
      </c>
      <c r="O7" s="213"/>
      <c r="P7" s="214"/>
      <c r="Q7" s="214"/>
      <c r="R7" s="214"/>
      <c r="S7" s="214"/>
      <c r="T7" s="214"/>
      <c r="U7" s="214"/>
      <c r="V7" s="214"/>
      <c r="W7" s="214"/>
      <c r="X7" s="214"/>
      <c r="Y7" s="214"/>
      <c r="Z7" s="214"/>
      <c r="AA7" s="214"/>
      <c r="AB7" s="214"/>
      <c r="AC7" s="215"/>
      <c r="AD7" s="1796"/>
      <c r="AE7" s="1773"/>
      <c r="AF7" s="51"/>
      <c r="AG7" s="51"/>
      <c r="AH7" s="51"/>
      <c r="AI7" s="51"/>
      <c r="AJ7" s="51"/>
      <c r="AK7" s="51"/>
      <c r="AL7" s="51"/>
      <c r="AM7" s="51"/>
      <c r="AN7" s="2"/>
      <c r="AO7"/>
    </row>
    <row r="8" spans="2:41" ht="8.15" customHeight="1">
      <c r="B8" s="65"/>
      <c r="C8" s="32"/>
      <c r="D8" s="32"/>
      <c r="E8" s="32"/>
      <c r="F8" s="32"/>
      <c r="G8" s="32"/>
      <c r="H8" s="32"/>
      <c r="I8" s="32"/>
      <c r="J8" s="32"/>
      <c r="K8" s="32"/>
      <c r="L8" s="81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2"/>
      <c r="AL8" s="32"/>
      <c r="AM8" s="32"/>
      <c r="AN8" s="13"/>
      <c r="AO8"/>
    </row>
    <row r="9" spans="2:41" ht="20.15" customHeight="1">
      <c r="B9" s="109" t="s">
        <v>33</v>
      </c>
      <c r="C9" s="66"/>
      <c r="D9" s="66"/>
      <c r="E9" s="66"/>
      <c r="F9" s="66"/>
      <c r="G9" s="62"/>
      <c r="H9" s="62"/>
      <c r="I9" s="62"/>
      <c r="J9" s="110" t="s">
        <v>26</v>
      </c>
      <c r="K9" s="1324" t="str">
        <f>'1770 S-1 JP'!K9</f>
        <v/>
      </c>
      <c r="L9" s="1324" t="str">
        <f>'1770 S-1 JP'!L9</f>
        <v/>
      </c>
      <c r="M9"/>
      <c r="N9" s="1324" t="str">
        <f>'1770 S-1 JP'!N9</f>
        <v/>
      </c>
      <c r="O9" s="1324" t="str">
        <f>'1770 S-1 JP'!O9</f>
        <v/>
      </c>
      <c r="P9" s="1324" t="str">
        <f>'1770 S-1 JP'!P9</f>
        <v/>
      </c>
      <c r="Q9"/>
      <c r="R9" s="1324" t="str">
        <f>'1770 S-1 JP'!R9</f>
        <v/>
      </c>
      <c r="S9" s="1324" t="str">
        <f>'1770 S-1 JP'!S9</f>
        <v/>
      </c>
      <c r="T9" s="1324" t="str">
        <f>'1770 S-1 JP'!T9</f>
        <v/>
      </c>
      <c r="U9"/>
      <c r="V9" s="1324" t="str">
        <f>'1770 S-1 JP'!V9</f>
        <v/>
      </c>
      <c r="W9"/>
      <c r="X9" s="1324" t="str">
        <f>'1770 S-1 JP'!X9</f>
        <v/>
      </c>
      <c r="Y9" s="1324" t="str">
        <f>'1770 S-1 JP'!Y9</f>
        <v/>
      </c>
      <c r="Z9" s="1324" t="str">
        <f>'1770 S-1 JP'!Z9</f>
        <v/>
      </c>
      <c r="AA9"/>
      <c r="AB9" s="1324" t="str">
        <f>'1770 S-1 JP'!AB9</f>
        <v/>
      </c>
      <c r="AC9" s="1324" t="str">
        <f>'1770 S-1 JP'!AC9</f>
        <v/>
      </c>
      <c r="AD9" s="1324" t="str">
        <f>'1770 S-1 JP'!AD9</f>
        <v/>
      </c>
      <c r="AE9"/>
      <c r="AF9"/>
      <c r="AG9"/>
      <c r="AH9"/>
      <c r="AI9"/>
      <c r="AJ9"/>
      <c r="AK9"/>
      <c r="AL9"/>
      <c r="AM9"/>
      <c r="AN9" s="52"/>
      <c r="AO9"/>
    </row>
    <row r="10" spans="2:41" ht="4" customHeight="1">
      <c r="B10" s="111"/>
      <c r="C10" s="88"/>
      <c r="D10" s="88"/>
      <c r="E10" s="88"/>
      <c r="F10" s="88"/>
      <c r="G10" s="88"/>
      <c r="H10" s="88"/>
      <c r="I10" s="88"/>
      <c r="J10" s="88"/>
      <c r="K10" s="15"/>
      <c r="L10" s="79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/>
      <c r="AF10"/>
      <c r="AG10"/>
      <c r="AH10"/>
      <c r="AI10"/>
      <c r="AJ10"/>
      <c r="AK10"/>
      <c r="AL10"/>
      <c r="AM10"/>
      <c r="AN10" s="52"/>
      <c r="AO10"/>
    </row>
    <row r="11" spans="2:41" ht="20.15" customHeight="1">
      <c r="B11" s="109" t="s">
        <v>61</v>
      </c>
      <c r="C11" s="66"/>
      <c r="D11" s="66"/>
      <c r="E11" s="66"/>
      <c r="F11" s="66"/>
      <c r="G11" s="112"/>
      <c r="H11" s="112"/>
      <c r="I11" s="112"/>
      <c r="J11" s="113" t="s">
        <v>26</v>
      </c>
      <c r="K11" s="1422" t="str">
        <f>UPPER(name)</f>
        <v>0</v>
      </c>
      <c r="L11" s="1423"/>
      <c r="M11" s="1423"/>
      <c r="N11" s="1423"/>
      <c r="O11" s="1423"/>
      <c r="P11" s="1423"/>
      <c r="Q11" s="1423"/>
      <c r="R11" s="1423"/>
      <c r="S11" s="1423"/>
      <c r="T11" s="1423"/>
      <c r="U11" s="1423"/>
      <c r="V11" s="1423"/>
      <c r="W11" s="1423"/>
      <c r="X11" s="1423"/>
      <c r="Y11" s="1423"/>
      <c r="Z11" s="1423"/>
      <c r="AA11" s="1423"/>
      <c r="AB11" s="1423"/>
      <c r="AC11" s="1423"/>
      <c r="AD11" s="1423"/>
      <c r="AE11" s="1423"/>
      <c r="AF11" s="1423"/>
      <c r="AG11" s="1423"/>
      <c r="AH11" s="1423"/>
      <c r="AI11" s="1423"/>
      <c r="AJ11" s="1423"/>
      <c r="AK11" s="1423"/>
      <c r="AL11" s="1423"/>
      <c r="AM11" s="1423"/>
      <c r="AN11" s="52"/>
      <c r="AO11"/>
    </row>
    <row r="12" spans="2:41" ht="3" customHeight="1" thickBot="1">
      <c r="B12" s="80"/>
      <c r="C12" s="2"/>
      <c r="D12" s="2"/>
      <c r="E12" s="2"/>
      <c r="F12" s="2"/>
      <c r="G12" s="2"/>
      <c r="H12" s="2"/>
      <c r="I12" s="2"/>
      <c r="J12" s="2"/>
      <c r="K12" s="2"/>
      <c r="L12" s="59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14"/>
      <c r="AO12"/>
    </row>
    <row r="13" spans="2:41" customHeight="1">
      <c r="B13" s="32"/>
      <c r="C13"/>
      <c r="D13"/>
      <c r="E13"/>
      <c r="F13"/>
      <c r="G13"/>
      <c r="H13"/>
      <c r="I13"/>
      <c r="J13"/>
      <c r="K13"/>
      <c r="L13" s="22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s="32"/>
      <c r="AO13"/>
    </row>
    <row r="14" spans="2:41" customHeight="1">
      <c r="B14"/>
      <c r="C14"/>
      <c r="D14"/>
      <c r="E14"/>
      <c r="F14"/>
      <c r="G14"/>
      <c r="H14"/>
      <c r="I14"/>
      <c r="J14"/>
      <c r="K14"/>
      <c r="L14" s="22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r="15" spans="2:40" s="39" customFormat="1" ht="15" customHeight="1">
      <c r="B15" s="71" t="s">
        <v>39</v>
      </c>
      <c r="C15" s="71"/>
      <c r="D15" s="71"/>
      <c r="E15" s="71" t="s">
        <v>26</v>
      </c>
      <c r="F15" s="71" t="s">
        <v>16</v>
      </c>
      <c r="G15" s="71"/>
      <c r="H15" s="71"/>
      <c r="I15" s="71"/>
      <c r="J15" s="71"/>
      <c r="K15" s="71"/>
      <c r="L15" s="72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50"/>
      <c r="AB15" s="39"/>
      <c r="AC15" s="39"/>
      <c r="AD15" s="39"/>
      <c r="AE15" s="39"/>
      <c r="AF15" s="39"/>
      <c r="AG15" s="39"/>
      <c r="AH15" s="73"/>
      <c r="AI15" s="73"/>
      <c r="AJ15" s="73"/>
      <c r="AK15" s="73"/>
      <c r="AL15" s="73"/>
      <c r="AM15" s="73"/>
      <c r="AN15" s="39"/>
    </row>
    <row r="16" spans="2:40" ht="15" customHeight="1">
      <c r="B16" s="71"/>
      <c r="C16" s="71"/>
      <c r="D16" s="71"/>
      <c r="E16" s="71"/>
      <c r="F16" s="74" t="s">
        <v>176</v>
      </c>
      <c r="G16" s="71"/>
      <c r="H16" s="71"/>
      <c r="I16" s="71"/>
      <c r="J16" s="71"/>
      <c r="K16" s="71"/>
      <c r="L16" s="72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50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2:40" customHeight="1"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216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 spans="2:40" ht="15" customHeight="1">
      <c r="B18" s="142" t="s">
        <v>76</v>
      </c>
      <c r="C18" s="142" t="s">
        <v>40</v>
      </c>
      <c r="D18" s="1307"/>
      <c r="E18" s="1307"/>
      <c r="F18" s="1307"/>
      <c r="G18" s="1307"/>
      <c r="H18" s="1307"/>
      <c r="I18" s="1307"/>
      <c r="J18" s="1307"/>
      <c r="K18" s="1307"/>
      <c r="L18" s="1307"/>
      <c r="M18" s="1307"/>
      <c r="N18" s="1307"/>
      <c r="O18" s="1307"/>
      <c r="P18" s="1307"/>
      <c r="Q18" s="1307"/>
      <c r="R18" s="1307"/>
      <c r="S18" s="1307"/>
      <c r="T18" s="1307"/>
      <c r="U18" s="1307"/>
      <c r="V18" s="1307"/>
      <c r="W18" s="1307"/>
      <c r="X18" s="1307"/>
      <c r="Y18" s="1307"/>
      <c r="Z18" s="1307"/>
      <c r="AA18" s="1895"/>
      <c r="AB18" s="1307" t="s">
        <v>136</v>
      </c>
      <c r="AC18" s="1307"/>
      <c r="AD18" s="1307"/>
      <c r="AE18" s="1307"/>
      <c r="AF18" s="1307"/>
      <c r="AG18" s="1307"/>
      <c r="AH18" s="1307"/>
      <c r="AI18" s="1307"/>
      <c r="AJ18" s="1307"/>
      <c r="AK18" s="1307"/>
      <c r="AL18" s="1307"/>
      <c r="AM18" s="1307"/>
      <c r="AN18" s="1895"/>
    </row>
    <row r="19" spans="2:40" ht="15" customHeight="1">
      <c r="B19" s="141"/>
      <c r="C19" s="141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67"/>
      <c r="V19" s="67"/>
      <c r="W19" s="67"/>
      <c r="X19" s="67"/>
      <c r="Y19" s="67"/>
      <c r="Z19" s="67"/>
      <c r="AA19" s="297"/>
      <c r="AB19" s="67" t="s">
        <v>70</v>
      </c>
      <c r="AC19" s="67"/>
      <c r="AD19" s="67"/>
      <c r="AE19" s="67"/>
      <c r="AF19" s="67"/>
      <c r="AG19" s="67"/>
      <c r="AH19" s="67"/>
      <c r="AI19" s="67"/>
      <c r="AJ19" s="67"/>
      <c r="AK19" s="67"/>
      <c r="AL19" s="67"/>
      <c r="AM19" s="67"/>
      <c r="AN19" s="297"/>
    </row>
    <row r="20" spans="2:40" ht="15" customHeight="1">
      <c r="B20" s="145" t="s">
        <v>65</v>
      </c>
      <c r="C20" s="145" t="s">
        <v>64</v>
      </c>
      <c r="D20" s="1861"/>
      <c r="E20" s="1861"/>
      <c r="F20" s="1861"/>
      <c r="G20" s="1861"/>
      <c r="H20" s="1861"/>
      <c r="I20" s="1861"/>
      <c r="J20" s="1861"/>
      <c r="K20" s="1861"/>
      <c r="L20" s="1861"/>
      <c r="M20" s="1861"/>
      <c r="N20" s="1861"/>
      <c r="O20" s="1861"/>
      <c r="P20" s="1861"/>
      <c r="Q20" s="1861"/>
      <c r="R20" s="1861"/>
      <c r="S20" s="1861"/>
      <c r="T20" s="1861"/>
      <c r="U20" s="1861"/>
      <c r="V20" s="1861"/>
      <c r="W20" s="1861"/>
      <c r="X20" s="1861"/>
      <c r="Y20" s="1861"/>
      <c r="Z20" s="1861"/>
      <c r="AA20" s="1862"/>
      <c r="AB20" s="1861" t="s">
        <v>66</v>
      </c>
      <c r="AC20" s="1861"/>
      <c r="AD20" s="1861"/>
      <c r="AE20" s="1861"/>
      <c r="AF20" s="1861"/>
      <c r="AG20" s="1861"/>
      <c r="AH20" s="1861"/>
      <c r="AI20" s="1861"/>
      <c r="AJ20" s="1861"/>
      <c r="AK20" s="1861"/>
      <c r="AL20" s="1861"/>
      <c r="AM20" s="1861"/>
      <c r="AN20" s="1862"/>
    </row>
    <row r="21" spans="1:41" s="39" customFormat="1" ht="15" customHeight="1">
      <c r="A21" s="4"/>
      <c r="B21" s="142" t="s">
        <v>386</v>
      </c>
      <c r="C21" s="142" t="s">
        <v>41</v>
      </c>
      <c r="D21" s="1307"/>
      <c r="E21" s="2544"/>
      <c r="F21" s="2544"/>
      <c r="G21" s="2544"/>
      <c r="H21" s="2544"/>
      <c r="I21" s="2544"/>
      <c r="J21" s="2544"/>
      <c r="K21" s="2544"/>
      <c r="L21" s="2544"/>
      <c r="M21" s="2544"/>
      <c r="N21" s="2544"/>
      <c r="O21" s="2544"/>
      <c r="P21" s="2544"/>
      <c r="Q21" s="2544"/>
      <c r="R21" s="2544"/>
      <c r="S21" s="2544"/>
      <c r="T21" s="2544"/>
      <c r="U21" s="2544"/>
      <c r="V21" s="2544"/>
      <c r="W21" s="2544"/>
      <c r="X21" s="2544"/>
      <c r="Y21" s="2544"/>
      <c r="Z21" s="2544"/>
      <c r="AA21" s="2545"/>
      <c r="AB21" s="1869">
        <f>'1770 S-1 JP'!AB21:AM22</f>
        <v>0</v>
      </c>
      <c r="AC21" s="1870"/>
      <c r="AD21" s="1870"/>
      <c r="AE21" s="1870"/>
      <c r="AF21" s="1870"/>
      <c r="AG21" s="1870"/>
      <c r="AH21" s="1870"/>
      <c r="AI21" s="1870"/>
      <c r="AJ21" s="1870"/>
      <c r="AK21" s="1870"/>
      <c r="AL21" s="1870"/>
      <c r="AM21" s="1870"/>
      <c r="AN21" s="262"/>
      <c r="AO21" s="39"/>
    </row>
    <row r="22" spans="1:41" s="39" customFormat="1" ht="15" customHeight="1">
      <c r="A22" s="4"/>
      <c r="B22" s="1293"/>
      <c r="C22" s="1293"/>
      <c r="D22" s="1901"/>
      <c r="E22" s="2542"/>
      <c r="F22" s="2542"/>
      <c r="G22" s="2542"/>
      <c r="H22" s="2542"/>
      <c r="I22" s="2542"/>
      <c r="J22" s="2542"/>
      <c r="K22" s="2542"/>
      <c r="L22" s="2542"/>
      <c r="M22" s="2542"/>
      <c r="N22" s="2542"/>
      <c r="O22" s="2542"/>
      <c r="P22" s="2542"/>
      <c r="Q22" s="2542"/>
      <c r="R22" s="2542"/>
      <c r="S22" s="2542"/>
      <c r="T22" s="2542"/>
      <c r="U22" s="2542"/>
      <c r="V22" s="2542"/>
      <c r="W22" s="2542"/>
      <c r="X22" s="2542"/>
      <c r="Y22" s="2542"/>
      <c r="Z22" s="2542"/>
      <c r="AA22" s="2543"/>
      <c r="AB22" s="377"/>
      <c r="AC22" s="1871"/>
      <c r="AD22" s="1871"/>
      <c r="AE22" s="1871"/>
      <c r="AF22" s="1871"/>
      <c r="AG22" s="1871"/>
      <c r="AH22" s="1871"/>
      <c r="AI22" s="1871"/>
      <c r="AJ22" s="1871"/>
      <c r="AK22" s="1871"/>
      <c r="AL22" s="1871"/>
      <c r="AM22" s="1871"/>
      <c r="AN22" s="261"/>
      <c r="AO22" s="39"/>
    </row>
    <row r="23" spans="1:41" s="39" customFormat="1" ht="3" customHeight="1">
      <c r="A23" s="4"/>
      <c r="B23" s="141"/>
      <c r="C23" s="143"/>
      <c r="D23" s="66"/>
      <c r="E23" s="66"/>
      <c r="F23" s="66"/>
      <c r="G23" s="66"/>
      <c r="H23" s="66"/>
      <c r="I23" s="66"/>
      <c r="J23" s="66"/>
      <c r="K23" s="66"/>
      <c r="L23" s="67"/>
      <c r="M23" s="66"/>
      <c r="N23" s="66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44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235"/>
      <c r="AO23" s="39"/>
    </row>
    <row r="24" spans="1:41" s="39" customFormat="1" ht="15" customHeight="1">
      <c r="A24" s="4"/>
      <c r="B24" s="141" t="s">
        <v>387</v>
      </c>
      <c r="C24" s="2540" t="s">
        <v>42</v>
      </c>
      <c r="D24" s="298"/>
      <c r="E24" s="298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67"/>
      <c r="V24" s="67"/>
      <c r="W24" s="67"/>
      <c r="X24" s="67"/>
      <c r="Y24" s="67"/>
      <c r="Z24" s="67"/>
      <c r="AA24" s="297"/>
      <c r="AB24" s="376">
        <f>'GENERAL INFO'!V157</f>
        <v>0</v>
      </c>
      <c r="AC24" s="246"/>
      <c r="AD24" s="246"/>
      <c r="AE24" s="246"/>
      <c r="AF24" s="246"/>
      <c r="AG24" s="246"/>
      <c r="AH24" s="246"/>
      <c r="AI24" s="246"/>
      <c r="AJ24" s="246"/>
      <c r="AK24" s="246"/>
      <c r="AL24" s="246"/>
      <c r="AM24" s="246"/>
      <c r="AN24" s="258"/>
      <c r="AO24" s="39"/>
    </row>
    <row r="25" spans="1:41" s="39" customFormat="1" ht="15" customHeight="1">
      <c r="A25" s="4"/>
      <c r="B25" s="1293"/>
      <c r="C25" s="2541"/>
      <c r="D25" s="2542"/>
      <c r="E25" s="2542"/>
      <c r="F25" s="1901"/>
      <c r="G25" s="1901"/>
      <c r="H25" s="1901"/>
      <c r="I25" s="1901"/>
      <c r="J25" s="1901"/>
      <c r="K25" s="1901"/>
      <c r="L25" s="1901"/>
      <c r="M25" s="1901"/>
      <c r="N25" s="1901"/>
      <c r="O25" s="1901"/>
      <c r="P25" s="1901"/>
      <c r="Q25" s="1901"/>
      <c r="R25" s="1901"/>
      <c r="S25" s="1901"/>
      <c r="T25" s="1901"/>
      <c r="U25" s="1901"/>
      <c r="V25" s="1901"/>
      <c r="W25" s="1901"/>
      <c r="X25" s="1901"/>
      <c r="Y25" s="1901"/>
      <c r="Z25" s="1901"/>
      <c r="AA25" s="1896"/>
      <c r="AB25" s="377"/>
      <c r="AC25" s="1871"/>
      <c r="AD25" s="1871"/>
      <c r="AE25" s="1871"/>
      <c r="AF25" s="1871"/>
      <c r="AG25" s="1871"/>
      <c r="AH25" s="1871"/>
      <c r="AI25" s="1871"/>
      <c r="AJ25" s="1871"/>
      <c r="AK25" s="1871"/>
      <c r="AL25" s="1871"/>
      <c r="AM25" s="1871"/>
      <c r="AN25" s="261"/>
      <c r="AO25" s="39"/>
    </row>
    <row r="26" spans="1:41" s="39" customFormat="1" ht="3" customHeight="1">
      <c r="A26" s="4"/>
      <c r="B26" s="141"/>
      <c r="C26" s="143"/>
      <c r="D26" s="66"/>
      <c r="E26" s="66"/>
      <c r="F26" s="66"/>
      <c r="G26" s="66"/>
      <c r="H26" s="66"/>
      <c r="I26" s="66"/>
      <c r="J26" s="66"/>
      <c r="K26" s="66"/>
      <c r="L26" s="67"/>
      <c r="M26" s="66"/>
      <c r="N26" s="66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44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235"/>
      <c r="AO26" s="39"/>
    </row>
    <row r="27" spans="1:41" s="39" customFormat="1" ht="15" customHeight="1">
      <c r="A27" s="4"/>
      <c r="B27" s="141" t="s">
        <v>388</v>
      </c>
      <c r="C27" s="2540" t="s">
        <v>43</v>
      </c>
      <c r="D27" s="298"/>
      <c r="E27" s="298"/>
      <c r="F27" s="298"/>
      <c r="G27" s="298"/>
      <c r="H27" s="298"/>
      <c r="I27" s="298"/>
      <c r="J27" s="298"/>
      <c r="K27" s="298"/>
      <c r="L27" s="298"/>
      <c r="M27" s="298"/>
      <c r="N27" s="298"/>
      <c r="O27" s="298"/>
      <c r="P27" s="298"/>
      <c r="Q27" s="298"/>
      <c r="R27" s="298"/>
      <c r="S27" s="298"/>
      <c r="T27" s="298"/>
      <c r="U27" s="298"/>
      <c r="V27" s="298"/>
      <c r="W27" s="298"/>
      <c r="X27" s="298"/>
      <c r="Y27" s="298"/>
      <c r="Z27" s="298"/>
      <c r="AA27" s="1398"/>
      <c r="AB27" s="376">
        <f>'GENERAL INFO'!V158</f>
        <v>0</v>
      </c>
      <c r="AC27" s="246"/>
      <c r="AD27" s="246"/>
      <c r="AE27" s="246"/>
      <c r="AF27" s="246"/>
      <c r="AG27" s="246"/>
      <c r="AH27" s="246"/>
      <c r="AI27" s="246"/>
      <c r="AJ27" s="246"/>
      <c r="AK27" s="246"/>
      <c r="AL27" s="246"/>
      <c r="AM27" s="246"/>
      <c r="AN27" s="258"/>
      <c r="AO27" s="39"/>
    </row>
    <row r="28" spans="1:41" s="39" customFormat="1" ht="15" customHeight="1">
      <c r="A28" s="4"/>
      <c r="B28" s="1293"/>
      <c r="C28" s="2541"/>
      <c r="D28" s="2542"/>
      <c r="E28" s="2542"/>
      <c r="F28" s="2542"/>
      <c r="G28" s="2542"/>
      <c r="H28" s="2542"/>
      <c r="I28" s="2542"/>
      <c r="J28" s="2542"/>
      <c r="K28" s="2542"/>
      <c r="L28" s="2542"/>
      <c r="M28" s="2542"/>
      <c r="N28" s="2542"/>
      <c r="O28" s="2542"/>
      <c r="P28" s="2542"/>
      <c r="Q28" s="2542"/>
      <c r="R28" s="2542"/>
      <c r="S28" s="2542"/>
      <c r="T28" s="2542"/>
      <c r="U28" s="2542"/>
      <c r="V28" s="2542"/>
      <c r="W28" s="2542"/>
      <c r="X28" s="2542"/>
      <c r="Y28" s="2542"/>
      <c r="Z28" s="2542"/>
      <c r="AA28" s="2543"/>
      <c r="AB28" s="377"/>
      <c r="AC28" s="1871"/>
      <c r="AD28" s="1871"/>
      <c r="AE28" s="1871"/>
      <c r="AF28" s="1871"/>
      <c r="AG28" s="1871"/>
      <c r="AH28" s="1871"/>
      <c r="AI28" s="1871"/>
      <c r="AJ28" s="1871"/>
      <c r="AK28" s="1871"/>
      <c r="AL28" s="1871"/>
      <c r="AM28" s="1871"/>
      <c r="AN28" s="261"/>
      <c r="AO28" s="39"/>
    </row>
    <row r="29" spans="1:41" s="39" customFormat="1" ht="3" customHeight="1">
      <c r="A29" s="4"/>
      <c r="B29" s="141"/>
      <c r="C29" s="143"/>
      <c r="D29" s="66"/>
      <c r="E29" s="66"/>
      <c r="F29" s="66"/>
      <c r="G29" s="66"/>
      <c r="H29" s="66"/>
      <c r="I29" s="66"/>
      <c r="J29" s="66"/>
      <c r="K29" s="66"/>
      <c r="L29" s="67"/>
      <c r="M29" s="66"/>
      <c r="N29" s="66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44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235"/>
      <c r="AO29" s="39"/>
    </row>
    <row r="30" spans="1:41" s="39" customFormat="1" ht="15" customHeight="1">
      <c r="A30" s="4"/>
      <c r="B30" s="141" t="s">
        <v>389</v>
      </c>
      <c r="C30" s="2540" t="s">
        <v>44</v>
      </c>
      <c r="D30" s="298"/>
      <c r="E30" s="298"/>
      <c r="F30" s="298"/>
      <c r="G30" s="298"/>
      <c r="H30" s="298"/>
      <c r="I30" s="298"/>
      <c r="J30" s="298"/>
      <c r="K30" s="298"/>
      <c r="L30" s="298"/>
      <c r="M30" s="298"/>
      <c r="N30" s="298"/>
      <c r="O30" s="298"/>
      <c r="P30" s="298"/>
      <c r="Q30" s="298"/>
      <c r="R30" s="298"/>
      <c r="S30" s="298"/>
      <c r="T30" s="298"/>
      <c r="U30" s="298"/>
      <c r="V30" s="298"/>
      <c r="W30" s="298"/>
      <c r="X30" s="298"/>
      <c r="Y30" s="298"/>
      <c r="Z30" s="298"/>
      <c r="AA30" s="1398"/>
      <c r="AB30" s="376">
        <f>'GENERAL INFO'!V159</f>
        <v>0</v>
      </c>
      <c r="AC30" s="246"/>
      <c r="AD30" s="246"/>
      <c r="AE30" s="246"/>
      <c r="AF30" s="246"/>
      <c r="AG30" s="246"/>
      <c r="AH30" s="246"/>
      <c r="AI30" s="246"/>
      <c r="AJ30" s="246"/>
      <c r="AK30" s="246"/>
      <c r="AL30" s="246"/>
      <c r="AM30" s="246"/>
      <c r="AN30" s="258"/>
      <c r="AO30" s="39"/>
    </row>
    <row r="31" spans="1:41" s="39" customFormat="1" ht="15" customHeight="1">
      <c r="A31" s="4"/>
      <c r="B31" s="1293"/>
      <c r="C31" s="2541"/>
      <c r="D31" s="2542"/>
      <c r="E31" s="2542"/>
      <c r="F31" s="2542"/>
      <c r="G31" s="2542"/>
      <c r="H31" s="2542"/>
      <c r="I31" s="2542"/>
      <c r="J31" s="2542"/>
      <c r="K31" s="2542"/>
      <c r="L31" s="2542"/>
      <c r="M31" s="2542"/>
      <c r="N31" s="2542"/>
      <c r="O31" s="2542"/>
      <c r="P31" s="2542"/>
      <c r="Q31" s="2542"/>
      <c r="R31" s="2542"/>
      <c r="S31" s="2542"/>
      <c r="T31" s="2542"/>
      <c r="U31" s="2542"/>
      <c r="V31" s="2542"/>
      <c r="W31" s="2542"/>
      <c r="X31" s="2542"/>
      <c r="Y31" s="2542"/>
      <c r="Z31" s="2542"/>
      <c r="AA31" s="2543"/>
      <c r="AB31" s="377"/>
      <c r="AC31" s="1871"/>
      <c r="AD31" s="1871"/>
      <c r="AE31" s="1871"/>
      <c r="AF31" s="1871"/>
      <c r="AG31" s="1871"/>
      <c r="AH31" s="1871"/>
      <c r="AI31" s="1871"/>
      <c r="AJ31" s="1871"/>
      <c r="AK31" s="1871"/>
      <c r="AL31" s="1871"/>
      <c r="AM31" s="1871"/>
      <c r="AN31" s="261"/>
      <c r="AO31" s="39"/>
    </row>
    <row r="32" spans="1:41" s="39" customFormat="1" ht="3" customHeight="1">
      <c r="A32" s="4"/>
      <c r="B32" s="142"/>
      <c r="C32" s="2591" t="s">
        <v>421</v>
      </c>
      <c r="D32" s="2544"/>
      <c r="E32" s="2544"/>
      <c r="F32" s="2544"/>
      <c r="G32" s="2544"/>
      <c r="H32" s="2544"/>
      <c r="I32" s="2544"/>
      <c r="J32" s="2544"/>
      <c r="K32" s="2544"/>
      <c r="L32" s="2544"/>
      <c r="M32" s="2544"/>
      <c r="N32" s="2544"/>
      <c r="O32" s="2544"/>
      <c r="P32" s="2544"/>
      <c r="Q32" s="2544"/>
      <c r="R32" s="2544"/>
      <c r="S32" s="2544"/>
      <c r="T32" s="2544"/>
      <c r="U32" s="2544"/>
      <c r="V32" s="2544"/>
      <c r="W32" s="2544"/>
      <c r="X32" s="2544"/>
      <c r="Y32" s="2544"/>
      <c r="Z32" s="2544"/>
      <c r="AA32" s="2545"/>
      <c r="AB32" s="634"/>
      <c r="AC32" s="634"/>
      <c r="AD32" s="634"/>
      <c r="AE32" s="634"/>
      <c r="AF32" s="634"/>
      <c r="AG32" s="634"/>
      <c r="AH32" s="634"/>
      <c r="AI32" s="634"/>
      <c r="AJ32" s="634"/>
      <c r="AK32" s="634"/>
      <c r="AL32" s="634"/>
      <c r="AM32" s="634"/>
      <c r="AN32" s="239"/>
      <c r="AO32" s="39"/>
    </row>
    <row r="33" spans="1:41" s="39" customFormat="1" ht="15" customHeight="1">
      <c r="A33" s="4"/>
      <c r="B33" s="141" t="s">
        <v>390</v>
      </c>
      <c r="C33" s="2540"/>
      <c r="D33" s="298"/>
      <c r="E33" s="298"/>
      <c r="F33" s="298"/>
      <c r="G33" s="298"/>
      <c r="H33" s="298"/>
      <c r="I33" s="298"/>
      <c r="J33" s="298"/>
      <c r="K33" s="298"/>
      <c r="L33" s="298"/>
      <c r="M33" s="298"/>
      <c r="N33" s="298"/>
      <c r="O33" s="298"/>
      <c r="P33" s="298"/>
      <c r="Q33" s="298"/>
      <c r="R33" s="298"/>
      <c r="S33" s="298"/>
      <c r="T33" s="298"/>
      <c r="U33" s="298"/>
      <c r="V33" s="298"/>
      <c r="W33" s="298"/>
      <c r="X33" s="298"/>
      <c r="Y33" s="298"/>
      <c r="Z33" s="298"/>
      <c r="AA33" s="1398"/>
      <c r="AB33" s="376">
        <f>'GENERAL INFO'!V160</f>
        <v>0</v>
      </c>
      <c r="AC33" s="246"/>
      <c r="AD33" s="246"/>
      <c r="AE33" s="246"/>
      <c r="AF33" s="246"/>
      <c r="AG33" s="246"/>
      <c r="AH33" s="246"/>
      <c r="AI33" s="246"/>
      <c r="AJ33" s="246"/>
      <c r="AK33" s="246"/>
      <c r="AL33" s="246"/>
      <c r="AM33" s="246"/>
      <c r="AN33" s="258"/>
      <c r="AO33" s="39"/>
    </row>
    <row r="34" spans="1:41" s="39" customFormat="1" ht="15" customHeight="1">
      <c r="A34" s="4"/>
      <c r="B34" s="1293"/>
      <c r="C34" s="2541"/>
      <c r="D34" s="2542"/>
      <c r="E34" s="2542"/>
      <c r="F34" s="2542"/>
      <c r="G34" s="2542"/>
      <c r="H34" s="2542"/>
      <c r="I34" s="2542"/>
      <c r="J34" s="2542"/>
      <c r="K34" s="2542"/>
      <c r="L34" s="2542"/>
      <c r="M34" s="2542"/>
      <c r="N34" s="2542"/>
      <c r="O34" s="2542"/>
      <c r="P34" s="2542"/>
      <c r="Q34" s="2542"/>
      <c r="R34" s="2542"/>
      <c r="S34" s="2542"/>
      <c r="T34" s="2542"/>
      <c r="U34" s="2542"/>
      <c r="V34" s="2542"/>
      <c r="W34" s="2542"/>
      <c r="X34" s="2542"/>
      <c r="Y34" s="2542"/>
      <c r="Z34" s="2542"/>
      <c r="AA34" s="2543"/>
      <c r="AB34" s="377"/>
      <c r="AC34" s="1871"/>
      <c r="AD34" s="1871"/>
      <c r="AE34" s="1871"/>
      <c r="AF34" s="1871"/>
      <c r="AG34" s="1871"/>
      <c r="AH34" s="1871"/>
      <c r="AI34" s="1871"/>
      <c r="AJ34" s="1871"/>
      <c r="AK34" s="1871"/>
      <c r="AL34" s="1871"/>
      <c r="AM34" s="1871"/>
      <c r="AN34" s="261"/>
      <c r="AO34" s="39"/>
    </row>
    <row r="35" spans="1:41" s="39" customFormat="1" ht="3" customHeight="1">
      <c r="A35" s="4"/>
      <c r="B35" s="141"/>
      <c r="C35" s="143"/>
      <c r="D35" s="66"/>
      <c r="E35" s="66"/>
      <c r="F35" s="66"/>
      <c r="G35" s="66"/>
      <c r="H35" s="66"/>
      <c r="I35" s="66"/>
      <c r="J35" s="66"/>
      <c r="K35" s="66"/>
      <c r="L35" s="67"/>
      <c r="M35" s="66"/>
      <c r="N35" s="66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44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235"/>
      <c r="AO35" s="39"/>
    </row>
    <row r="36" spans="1:41" s="39" customFormat="1" ht="15" customHeight="1">
      <c r="A36" s="4"/>
      <c r="B36" s="141" t="s">
        <v>391</v>
      </c>
      <c r="C36" s="2540" t="s">
        <v>45</v>
      </c>
      <c r="D36" s="298"/>
      <c r="E36" s="298"/>
      <c r="F36" s="298"/>
      <c r="G36" s="298"/>
      <c r="H36" s="298"/>
      <c r="I36" s="298"/>
      <c r="J36" s="298"/>
      <c r="K36" s="298"/>
      <c r="L36" s="298"/>
      <c r="M36" s="298"/>
      <c r="N36" s="298"/>
      <c r="O36" s="298"/>
      <c r="P36" s="298"/>
      <c r="Q36" s="298"/>
      <c r="R36" s="298"/>
      <c r="S36" s="298"/>
      <c r="T36" s="298"/>
      <c r="U36" s="298"/>
      <c r="V36" s="298"/>
      <c r="W36" s="298"/>
      <c r="X36" s="298"/>
      <c r="Y36" s="298"/>
      <c r="Z36" s="298"/>
      <c r="AA36" s="1398"/>
      <c r="AB36" s="376">
        <f>'GENERAL INFO'!V161</f>
        <v>0</v>
      </c>
      <c r="AC36" s="246"/>
      <c r="AD36" s="246"/>
      <c r="AE36" s="246"/>
      <c r="AF36" s="246"/>
      <c r="AG36" s="246"/>
      <c r="AH36" s="246"/>
      <c r="AI36" s="246"/>
      <c r="AJ36" s="246"/>
      <c r="AK36" s="246"/>
      <c r="AL36" s="246"/>
      <c r="AM36" s="246"/>
      <c r="AN36" s="258"/>
      <c r="AO36" s="39"/>
    </row>
    <row r="37" spans="1:41" s="39" customFormat="1" ht="15" customHeight="1">
      <c r="A37" s="4"/>
      <c r="B37" s="757"/>
      <c r="C37" s="2540"/>
      <c r="D37" s="298"/>
      <c r="E37" s="298"/>
      <c r="F37" s="298"/>
      <c r="G37" s="298"/>
      <c r="H37" s="298"/>
      <c r="I37" s="299"/>
      <c r="J37" s="299"/>
      <c r="K37" s="299"/>
      <c r="L37" s="299"/>
      <c r="M37" s="299"/>
      <c r="N37" s="299"/>
      <c r="O37" s="299"/>
      <c r="P37" s="299"/>
      <c r="Q37" s="299"/>
      <c r="R37" s="299"/>
      <c r="S37" s="299"/>
      <c r="T37" s="299"/>
      <c r="U37" s="299"/>
      <c r="V37" s="299"/>
      <c r="W37" s="299"/>
      <c r="X37" s="299"/>
      <c r="Y37" s="299"/>
      <c r="Z37" s="299"/>
      <c r="AA37" s="2592"/>
      <c r="AB37" s="1892"/>
      <c r="AC37" s="1893"/>
      <c r="AD37" s="1893"/>
      <c r="AE37" s="1893"/>
      <c r="AF37" s="1893"/>
      <c r="AG37" s="1893"/>
      <c r="AH37" s="1893"/>
      <c r="AI37" s="1893"/>
      <c r="AJ37" s="1893"/>
      <c r="AK37" s="1893"/>
      <c r="AL37" s="1893"/>
      <c r="AM37" s="1893"/>
      <c r="AN37" s="259"/>
      <c r="AO37" s="39"/>
    </row>
    <row r="38" spans="1:41" s="39" customFormat="1" ht="3" customHeight="1">
      <c r="A38" s="4"/>
      <c r="B38" s="146"/>
      <c r="C38" s="147"/>
      <c r="D38" s="148"/>
      <c r="E38" s="148"/>
      <c r="F38" s="148"/>
      <c r="G38" s="148"/>
      <c r="H38" s="148"/>
      <c r="I38" s="148"/>
      <c r="J38" s="148"/>
      <c r="K38" s="148"/>
      <c r="L38" s="149"/>
      <c r="M38" s="148"/>
      <c r="N38" s="148"/>
      <c r="O38" s="148"/>
      <c r="P38" s="148"/>
      <c r="Q38" s="148"/>
      <c r="R38" s="148"/>
      <c r="S38" s="148"/>
      <c r="T38" s="148"/>
      <c r="U38" s="148"/>
      <c r="V38" s="148"/>
      <c r="W38" s="148"/>
      <c r="X38" s="148"/>
      <c r="Y38" s="148"/>
      <c r="Z38" s="142" t="s">
        <v>108</v>
      </c>
      <c r="AA38" s="1895"/>
      <c r="AB38" s="1869">
        <f>SUM(AB21:AM37)</f>
        <v>0</v>
      </c>
      <c r="AC38" s="1870"/>
      <c r="AD38" s="1870"/>
      <c r="AE38" s="1870"/>
      <c r="AF38" s="1870"/>
      <c r="AG38" s="1870"/>
      <c r="AH38" s="1870"/>
      <c r="AI38" s="1870"/>
      <c r="AJ38" s="1870"/>
      <c r="AK38" s="1870"/>
      <c r="AL38" s="1870"/>
      <c r="AM38" s="1870"/>
      <c r="AN38" s="262"/>
      <c r="AO38" s="39"/>
    </row>
    <row r="39" spans="1:41" s="39" customFormat="1" ht="9" customHeight="1">
      <c r="A39" s="4"/>
      <c r="B39" s="141"/>
      <c r="C39" s="141" t="s">
        <v>109</v>
      </c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67"/>
      <c r="U39" s="67"/>
      <c r="V39" s="67"/>
      <c r="W39" s="67"/>
      <c r="X39" s="67"/>
      <c r="Y39" s="297"/>
      <c r="Z39" s="141"/>
      <c r="AA39" s="297"/>
      <c r="AB39" s="376"/>
      <c r="AC39" s="246"/>
      <c r="AD39" s="246"/>
      <c r="AE39" s="246"/>
      <c r="AF39" s="246"/>
      <c r="AG39" s="246"/>
      <c r="AH39" s="246"/>
      <c r="AI39" s="246"/>
      <c r="AJ39" s="246"/>
      <c r="AK39" s="246"/>
      <c r="AL39" s="246"/>
      <c r="AM39" s="246"/>
      <c r="AN39" s="258"/>
      <c r="AO39" s="39"/>
    </row>
    <row r="40" spans="1:41" s="39" customFormat="1" ht="15" customHeight="1">
      <c r="A40" s="4"/>
      <c r="B40" s="1293"/>
      <c r="C40" s="1293"/>
      <c r="D40" s="1901"/>
      <c r="E40" s="1901"/>
      <c r="F40" s="1901"/>
      <c r="G40" s="1901"/>
      <c r="H40" s="1901"/>
      <c r="I40" s="1901"/>
      <c r="J40" s="1901"/>
      <c r="K40" s="1901"/>
      <c r="L40" s="1901"/>
      <c r="M40" s="1901"/>
      <c r="N40" s="1901"/>
      <c r="O40" s="1901"/>
      <c r="P40" s="1901"/>
      <c r="Q40" s="1901"/>
      <c r="R40" s="1901"/>
      <c r="S40" s="1901"/>
      <c r="T40" s="1901"/>
      <c r="U40" s="1901"/>
      <c r="V40" s="1901"/>
      <c r="W40" s="1901"/>
      <c r="X40" s="1901"/>
      <c r="Y40" s="1896"/>
      <c r="Z40" s="1293"/>
      <c r="AA40" s="1896"/>
      <c r="AB40" s="377"/>
      <c r="AC40" s="1871"/>
      <c r="AD40" s="1871"/>
      <c r="AE40" s="1871"/>
      <c r="AF40" s="1871"/>
      <c r="AG40" s="1871"/>
      <c r="AH40" s="1871"/>
      <c r="AI40" s="1871"/>
      <c r="AJ40" s="1871"/>
      <c r="AK40" s="1871"/>
      <c r="AL40" s="1871"/>
      <c r="AM40" s="1871"/>
      <c r="AN40" s="261"/>
      <c r="AO40" s="39"/>
    </row>
    <row r="41" spans="1:41" s="39" customFormat="1" ht="3" customHeight="1">
      <c r="A41" s="4"/>
      <c r="B41" s="133"/>
      <c r="C41" s="11"/>
      <c r="D41" s="11"/>
      <c r="E41" s="11"/>
      <c r="F41" s="11"/>
      <c r="G41" s="11"/>
      <c r="H41" s="11"/>
      <c r="I41" s="11"/>
      <c r="J41" s="11"/>
      <c r="K41" s="11"/>
      <c r="L41" s="17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86"/>
      <c r="AO41" s="4"/>
    </row>
    <row r="42" spans="1:46" s="39" customFormat="1" ht="11.25" customHeight="1">
      <c r="A42" s="4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7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33" t="s">
        <v>139</v>
      </c>
      <c r="AC42" s="33"/>
      <c r="AD42" s="33"/>
      <c r="AE42" s="33"/>
      <c r="AF42" s="33"/>
      <c r="AG42" s="33"/>
      <c r="AH42" s="33"/>
      <c r="AI42" s="33"/>
      <c r="AJ42" s="33"/>
      <c r="AK42" s="33"/>
      <c r="AL42" s="33"/>
      <c r="AM42" s="33"/>
      <c r="AN42" s="33"/>
      <c r="AO42" s="5"/>
      <c r="AP42" s="5"/>
      <c r="AQ42" s="5"/>
      <c r="AR42" s="5"/>
      <c r="AS42" s="5"/>
      <c r="AT42" s="5"/>
    </row>
    <row r="43" spans="1:41" s="39" customFormat="1" customHeight="1">
      <c r="A43" s="4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7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33" t="s">
        <v>422</v>
      </c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4"/>
    </row>
    <row r="44" spans="1:41" ht="15" customHeight="1">
      <c r="A44" s="4"/>
      <c r="B44" s="71" t="s">
        <v>46</v>
      </c>
      <c r="C44" s="71"/>
      <c r="D44" s="71"/>
      <c r="E44" s="71" t="s">
        <v>26</v>
      </c>
      <c r="F44" s="71" t="s">
        <v>32</v>
      </c>
      <c r="G44" s="71"/>
      <c r="H44" s="71"/>
      <c r="I44" s="71"/>
      <c r="J44" s="71"/>
      <c r="K44" s="71"/>
      <c r="L44" s="72"/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</row>
    <row r="45" spans="1:41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1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</row>
    <row r="46" spans="1:41" ht="15" customHeight="1">
      <c r="A46" s="4"/>
      <c r="B46" s="142" t="s">
        <v>76</v>
      </c>
      <c r="C46" s="142" t="s">
        <v>40</v>
      </c>
      <c r="D46" s="1307"/>
      <c r="E46" s="1307"/>
      <c r="F46" s="1307"/>
      <c r="G46" s="1307"/>
      <c r="H46" s="1307"/>
      <c r="I46" s="1307"/>
      <c r="J46" s="1307"/>
      <c r="K46" s="1307"/>
      <c r="L46" s="1307"/>
      <c r="M46" s="1307"/>
      <c r="N46" s="1307"/>
      <c r="O46" s="1307"/>
      <c r="P46" s="1307"/>
      <c r="Q46" s="1307"/>
      <c r="R46" s="1307"/>
      <c r="S46" s="1307"/>
      <c r="T46" s="1307"/>
      <c r="U46" s="1307"/>
      <c r="V46" s="1307"/>
      <c r="W46" s="1307"/>
      <c r="X46" s="1307"/>
      <c r="Y46" s="1307"/>
      <c r="Z46" s="1307"/>
      <c r="AA46" s="1895"/>
      <c r="AB46" s="142" t="s">
        <v>136</v>
      </c>
      <c r="AC46" s="1307"/>
      <c r="AD46" s="1307"/>
      <c r="AE46" s="1307"/>
      <c r="AF46" s="1307"/>
      <c r="AG46" s="1307"/>
      <c r="AH46" s="1307"/>
      <c r="AI46" s="1307"/>
      <c r="AJ46" s="1307"/>
      <c r="AK46" s="1307"/>
      <c r="AL46" s="1307"/>
      <c r="AM46" s="1307"/>
      <c r="AN46" s="1895"/>
      <c r="AO46" s="11"/>
    </row>
    <row r="47" spans="1:41" ht="15" customHeight="1">
      <c r="A47" s="4"/>
      <c r="B47" s="141"/>
      <c r="C47" s="141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297"/>
      <c r="AB47" s="141" t="s">
        <v>70</v>
      </c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297"/>
      <c r="AO47" s="11"/>
    </row>
    <row r="48" spans="2:41" s="6" customFormat="1" ht="15" customHeight="1">
      <c r="B48" s="145" t="s">
        <v>65</v>
      </c>
      <c r="C48" s="145" t="s">
        <v>64</v>
      </c>
      <c r="D48" s="1861"/>
      <c r="E48" s="1861"/>
      <c r="F48" s="1861"/>
      <c r="G48" s="1861"/>
      <c r="H48" s="1861"/>
      <c r="I48" s="1861"/>
      <c r="J48" s="1861"/>
      <c r="K48" s="1861"/>
      <c r="L48" s="1861"/>
      <c r="M48" s="1861"/>
      <c r="N48" s="1861"/>
      <c r="O48" s="1861"/>
      <c r="P48" s="1861"/>
      <c r="Q48" s="1861"/>
      <c r="R48" s="1861"/>
      <c r="S48" s="1861"/>
      <c r="T48" s="1861"/>
      <c r="U48" s="1861"/>
      <c r="V48" s="1861"/>
      <c r="W48" s="1861"/>
      <c r="X48" s="1861"/>
      <c r="Y48" s="1861"/>
      <c r="Z48" s="1861"/>
      <c r="AA48" s="1862"/>
      <c r="AB48" s="145" t="s">
        <v>66</v>
      </c>
      <c r="AC48" s="1861"/>
      <c r="AD48" s="1861"/>
      <c r="AE48" s="1861"/>
      <c r="AF48" s="1861"/>
      <c r="AG48" s="1861"/>
      <c r="AH48" s="1861"/>
      <c r="AI48" s="1861"/>
      <c r="AJ48" s="1861"/>
      <c r="AK48" s="1861"/>
      <c r="AL48" s="1861"/>
      <c r="AM48" s="1861"/>
      <c r="AN48" s="1862"/>
      <c r="AO48" s="6"/>
    </row>
    <row r="49" spans="1:41" customFormat="1" ht="3" customHeight="1">
      <c r="A49" s="4"/>
      <c r="B49" s="165"/>
      <c r="C49" s="165"/>
      <c r="D49" s="45"/>
      <c r="E49" s="45"/>
      <c r="F49" s="45"/>
      <c r="G49" s="45"/>
      <c r="H49" s="45"/>
      <c r="I49" s="45"/>
      <c r="J49" s="45"/>
      <c r="K49" s="45"/>
      <c r="L49" s="162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  <c r="AA49" s="150"/>
      <c r="AB49" s="165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64"/>
      <c r="AO49" s="4"/>
    </row>
    <row r="50" spans="1:40" ht="15" customHeight="1">
      <c r="A50" s="4"/>
      <c r="B50" s="141" t="s">
        <v>386</v>
      </c>
      <c r="C50" s="2540" t="s">
        <v>126</v>
      </c>
      <c r="D50" s="298"/>
      <c r="E50" s="298"/>
      <c r="F50" s="298"/>
      <c r="G50" s="298"/>
      <c r="H50" s="298"/>
      <c r="I50" s="298"/>
      <c r="J50" s="298"/>
      <c r="K50" s="298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297"/>
      <c r="AB50" s="376">
        <f>'GENERAL INFO'!O191</f>
        <v>0</v>
      </c>
      <c r="AC50" s="246"/>
      <c r="AD50" s="246"/>
      <c r="AE50" s="246"/>
      <c r="AF50" s="246"/>
      <c r="AG50" s="246"/>
      <c r="AH50" s="246"/>
      <c r="AI50" s="246"/>
      <c r="AJ50" s="246"/>
      <c r="AK50" s="246"/>
      <c r="AL50" s="246"/>
      <c r="AM50" s="246"/>
      <c r="AN50" s="258"/>
    </row>
    <row r="51" spans="1:40" ht="15" customHeight="1">
      <c r="A51" s="4"/>
      <c r="B51" s="1293"/>
      <c r="C51" s="2541"/>
      <c r="D51" s="2542"/>
      <c r="E51" s="2542"/>
      <c r="F51" s="2542"/>
      <c r="G51" s="2542"/>
      <c r="H51" s="2542"/>
      <c r="I51" s="2542"/>
      <c r="J51" s="2542"/>
      <c r="K51" s="2542"/>
      <c r="L51" s="1901"/>
      <c r="M51" s="1901"/>
      <c r="N51" s="1901"/>
      <c r="O51" s="1901"/>
      <c r="P51" s="1901"/>
      <c r="Q51" s="1901"/>
      <c r="R51" s="1901"/>
      <c r="S51" s="1901"/>
      <c r="T51" s="1901"/>
      <c r="U51" s="1901"/>
      <c r="V51" s="1901"/>
      <c r="W51" s="1901"/>
      <c r="X51" s="1901"/>
      <c r="Y51" s="1901"/>
      <c r="Z51" s="1901"/>
      <c r="AA51" s="1896"/>
      <c r="AB51" s="377"/>
      <c r="AC51" s="1871"/>
      <c r="AD51" s="1871"/>
      <c r="AE51" s="1871"/>
      <c r="AF51" s="1871"/>
      <c r="AG51" s="1871"/>
      <c r="AH51" s="1871"/>
      <c r="AI51" s="1871"/>
      <c r="AJ51" s="1871"/>
      <c r="AK51" s="1871"/>
      <c r="AL51" s="1871"/>
      <c r="AM51" s="1871"/>
      <c r="AN51" s="261"/>
    </row>
    <row r="52" spans="1:40" ht="3" customHeight="1">
      <c r="A52" s="4"/>
      <c r="B52" s="142"/>
      <c r="C52" s="147"/>
      <c r="D52" s="148"/>
      <c r="E52" s="148"/>
      <c r="F52" s="148"/>
      <c r="G52" s="148"/>
      <c r="H52" s="148"/>
      <c r="I52" s="148"/>
      <c r="J52" s="148"/>
      <c r="K52" s="148"/>
      <c r="L52" s="149"/>
      <c r="M52" s="148"/>
      <c r="N52" s="148"/>
      <c r="O52" s="148"/>
      <c r="P52" s="148"/>
      <c r="Q52" s="148"/>
      <c r="R52" s="148"/>
      <c r="S52" s="148"/>
      <c r="T52" s="148"/>
      <c r="U52" s="148"/>
      <c r="V52" s="148"/>
      <c r="W52" s="148"/>
      <c r="X52" s="148"/>
      <c r="Y52" s="148"/>
      <c r="Z52" s="148"/>
      <c r="AA52" s="1356"/>
      <c r="AB52" s="1869">
        <f>'GENERAL INFO'!O192</f>
        <v>0</v>
      </c>
      <c r="AC52" s="1870"/>
      <c r="AD52" s="1870"/>
      <c r="AE52" s="1870"/>
      <c r="AF52" s="1870"/>
      <c r="AG52" s="1870"/>
      <c r="AH52" s="1870"/>
      <c r="AI52" s="1870"/>
      <c r="AJ52" s="1870"/>
      <c r="AK52" s="1870"/>
      <c r="AL52" s="1870"/>
      <c r="AM52" s="1870"/>
      <c r="AN52" s="262"/>
    </row>
    <row r="53" spans="1:40" ht="15" customHeight="1">
      <c r="A53" s="4"/>
      <c r="B53" s="141" t="s">
        <v>387</v>
      </c>
      <c r="C53" s="2540" t="s">
        <v>47</v>
      </c>
      <c r="D53" s="298"/>
      <c r="E53" s="298"/>
      <c r="F53" s="298"/>
      <c r="G53" s="298"/>
      <c r="H53" s="298"/>
      <c r="I53" s="298"/>
      <c r="J53" s="298"/>
      <c r="K53" s="298"/>
      <c r="L53" s="298"/>
      <c r="M53" s="298"/>
      <c r="N53" s="298"/>
      <c r="O53" s="298"/>
      <c r="P53" s="298"/>
      <c r="Q53" s="298"/>
      <c r="R53" s="298"/>
      <c r="S53" s="298"/>
      <c r="T53" s="298"/>
      <c r="U53" s="298"/>
      <c r="V53" s="298"/>
      <c r="W53" s="298"/>
      <c r="X53" s="298"/>
      <c r="Y53" s="298"/>
      <c r="Z53" s="298"/>
      <c r="AA53" s="1398"/>
      <c r="AB53" s="376"/>
      <c r="AC53" s="246"/>
      <c r="AD53" s="246"/>
      <c r="AE53" s="246"/>
      <c r="AF53" s="246"/>
      <c r="AG53" s="246"/>
      <c r="AH53" s="246"/>
      <c r="AI53" s="246"/>
      <c r="AJ53" s="246"/>
      <c r="AK53" s="246"/>
      <c r="AL53" s="246"/>
      <c r="AM53" s="246"/>
      <c r="AN53" s="258"/>
    </row>
    <row r="54" spans="1:40" ht="15" customHeight="1">
      <c r="A54" s="4"/>
      <c r="B54" s="1293"/>
      <c r="C54" s="2541"/>
      <c r="D54" s="2542"/>
      <c r="E54" s="2542"/>
      <c r="F54" s="2542"/>
      <c r="G54" s="2542"/>
      <c r="H54" s="2542"/>
      <c r="I54" s="2542"/>
      <c r="J54" s="2542"/>
      <c r="K54" s="2542"/>
      <c r="L54" s="2542"/>
      <c r="M54" s="2542"/>
      <c r="N54" s="2542"/>
      <c r="O54" s="2542"/>
      <c r="P54" s="2542"/>
      <c r="Q54" s="2542"/>
      <c r="R54" s="2542"/>
      <c r="S54" s="2542"/>
      <c r="T54" s="2542"/>
      <c r="U54" s="2542"/>
      <c r="V54" s="2542"/>
      <c r="W54" s="2542"/>
      <c r="X54" s="2542"/>
      <c r="Y54" s="2542"/>
      <c r="Z54" s="2542"/>
      <c r="AA54" s="2543"/>
      <c r="AB54" s="377">
        <f>'GENERAL INFO'!O195</f>
        <v>0</v>
      </c>
      <c r="AC54" s="1871"/>
      <c r="AD54" s="1871"/>
      <c r="AE54" s="1871"/>
      <c r="AF54" s="1871"/>
      <c r="AG54" s="1871"/>
      <c r="AH54" s="1871"/>
      <c r="AI54" s="1871"/>
      <c r="AJ54" s="1871"/>
      <c r="AK54" s="1871"/>
      <c r="AL54" s="1871"/>
      <c r="AM54" s="1871"/>
      <c r="AN54" s="261"/>
    </row>
    <row r="55" spans="1:40" ht="3" customHeight="1">
      <c r="A55" s="4"/>
      <c r="B55" s="142"/>
      <c r="C55" s="147"/>
      <c r="D55" s="148"/>
      <c r="E55" s="148"/>
      <c r="F55" s="148"/>
      <c r="G55" s="148"/>
      <c r="H55" s="148"/>
      <c r="I55" s="148"/>
      <c r="J55" s="148"/>
      <c r="K55" s="148"/>
      <c r="L55" s="149"/>
      <c r="M55" s="148"/>
      <c r="N55" s="148"/>
      <c r="O55" s="148"/>
      <c r="P55" s="148"/>
      <c r="Q55" s="148"/>
      <c r="R55" s="148"/>
      <c r="S55" s="148"/>
      <c r="T55" s="148"/>
      <c r="U55" s="148"/>
      <c r="V55" s="148"/>
      <c r="W55" s="148"/>
      <c r="X55" s="148"/>
      <c r="Y55" s="148"/>
      <c r="Z55" s="148"/>
      <c r="AA55" s="1356"/>
      <c r="AB55" s="1869">
        <f>'GENERAL INFO'!O193</f>
        <v>0</v>
      </c>
      <c r="AC55" s="1870"/>
      <c r="AD55" s="1870"/>
      <c r="AE55" s="1870"/>
      <c r="AF55" s="1870"/>
      <c r="AG55" s="1870"/>
      <c r="AH55" s="1870"/>
      <c r="AI55" s="1870"/>
      <c r="AJ55" s="1870"/>
      <c r="AK55" s="1870"/>
      <c r="AL55" s="1870"/>
      <c r="AM55" s="1870"/>
      <c r="AN55" s="262"/>
    </row>
    <row r="56" spans="1:40" ht="15" customHeight="1">
      <c r="A56" s="4"/>
      <c r="B56" s="1294" t="s">
        <v>388</v>
      </c>
      <c r="C56" s="153" t="s">
        <v>127</v>
      </c>
      <c r="D56" s="15"/>
      <c r="E56" s="15"/>
      <c r="F56" s="15"/>
      <c r="G56" s="15"/>
      <c r="H56" s="15"/>
      <c r="I56" s="15"/>
      <c r="J56" s="15"/>
      <c r="K56" s="15"/>
      <c r="L56" s="79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44"/>
      <c r="AB56" s="376"/>
      <c r="AC56" s="246"/>
      <c r="AD56" s="246"/>
      <c r="AE56" s="246"/>
      <c r="AF56" s="246"/>
      <c r="AG56" s="246"/>
      <c r="AH56" s="246"/>
      <c r="AI56" s="246"/>
      <c r="AJ56" s="246"/>
      <c r="AK56" s="246"/>
      <c r="AL56" s="246"/>
      <c r="AM56" s="246"/>
      <c r="AN56" s="258"/>
    </row>
    <row r="57" spans="1:40" ht="15" customHeight="1">
      <c r="A57" s="4"/>
      <c r="B57" s="1900"/>
      <c r="C57" s="155" t="s">
        <v>81</v>
      </c>
      <c r="D57" s="1424"/>
      <c r="E57" s="1424"/>
      <c r="F57" s="1424"/>
      <c r="G57" s="1424"/>
      <c r="H57" s="1424"/>
      <c r="I57" s="1424"/>
      <c r="J57" s="1424"/>
      <c r="K57" s="2542"/>
      <c r="L57" s="2542"/>
      <c r="M57" s="2542"/>
      <c r="N57" s="2542"/>
      <c r="O57" s="2542"/>
      <c r="P57" s="2542"/>
      <c r="Q57" s="2542"/>
      <c r="R57" s="2542"/>
      <c r="S57" s="2542"/>
      <c r="T57" s="2542"/>
      <c r="U57" s="2542"/>
      <c r="V57" s="2542"/>
      <c r="W57" s="2542"/>
      <c r="X57" s="2542"/>
      <c r="Y57" s="2542"/>
      <c r="Z57" s="2542"/>
      <c r="AA57" s="2543"/>
      <c r="AB57" s="377">
        <f>'GENERAL INFO'!O198</f>
        <v>0</v>
      </c>
      <c r="AC57" s="1871"/>
      <c r="AD57" s="1871"/>
      <c r="AE57" s="1871"/>
      <c r="AF57" s="1871"/>
      <c r="AG57" s="1871"/>
      <c r="AH57" s="1871"/>
      <c r="AI57" s="1871"/>
      <c r="AJ57" s="1871"/>
      <c r="AK57" s="1871"/>
      <c r="AL57" s="1871"/>
      <c r="AM57" s="1871"/>
      <c r="AN57" s="261"/>
    </row>
    <row r="58" spans="1:40" ht="3" customHeight="1">
      <c r="A58" s="4"/>
      <c r="B58" s="142"/>
      <c r="C58" s="147"/>
      <c r="D58" s="148"/>
      <c r="E58" s="148"/>
      <c r="F58" s="148"/>
      <c r="G58" s="148"/>
      <c r="H58" s="148"/>
      <c r="I58" s="148"/>
      <c r="J58" s="148"/>
      <c r="K58" s="148"/>
      <c r="L58" s="149"/>
      <c r="M58" s="148"/>
      <c r="N58" s="148"/>
      <c r="O58" s="148"/>
      <c r="P58" s="148"/>
      <c r="Q58" s="148"/>
      <c r="R58" s="148"/>
      <c r="S58" s="148"/>
      <c r="T58" s="148"/>
      <c r="U58" s="148"/>
      <c r="V58" s="148"/>
      <c r="W58" s="148"/>
      <c r="X58" s="148"/>
      <c r="Y58" s="148"/>
      <c r="Z58" s="148"/>
      <c r="AA58" s="1356"/>
      <c r="AB58" s="1869">
        <f>'GENERAL INFO'!O194</f>
        <v>0</v>
      </c>
      <c r="AC58" s="1870"/>
      <c r="AD58" s="1870"/>
      <c r="AE58" s="1870"/>
      <c r="AF58" s="1870"/>
      <c r="AG58" s="1870"/>
      <c r="AH58" s="1870"/>
      <c r="AI58" s="1870"/>
      <c r="AJ58" s="1870"/>
      <c r="AK58" s="1870"/>
      <c r="AL58" s="1870"/>
      <c r="AM58" s="1870"/>
      <c r="AN58" s="262"/>
    </row>
    <row r="59" spans="1:40" ht="15" customHeight="1">
      <c r="A59" s="4"/>
      <c r="B59" s="141" t="s">
        <v>389</v>
      </c>
      <c r="C59" s="2540" t="s">
        <v>48</v>
      </c>
      <c r="D59" s="298"/>
      <c r="E59" s="298"/>
      <c r="F59" s="298"/>
      <c r="G59" s="298"/>
      <c r="H59" s="298"/>
      <c r="I59" s="298"/>
      <c r="J59" s="298"/>
      <c r="K59" s="298"/>
      <c r="L59" s="298"/>
      <c r="M59" s="298"/>
      <c r="N59" s="298"/>
      <c r="O59" s="298"/>
      <c r="P59" s="298"/>
      <c r="Q59" s="298"/>
      <c r="R59" s="298"/>
      <c r="S59" s="298"/>
      <c r="T59" s="298"/>
      <c r="U59" s="298"/>
      <c r="V59" s="298"/>
      <c r="W59" s="298"/>
      <c r="X59" s="298"/>
      <c r="Y59" s="298"/>
      <c r="Z59" s="298"/>
      <c r="AA59" s="1398"/>
      <c r="AB59" s="376"/>
      <c r="AC59" s="246"/>
      <c r="AD59" s="246"/>
      <c r="AE59" s="246"/>
      <c r="AF59" s="246"/>
      <c r="AG59" s="246"/>
      <c r="AH59" s="246"/>
      <c r="AI59" s="246"/>
      <c r="AJ59" s="246"/>
      <c r="AK59" s="246"/>
      <c r="AL59" s="246"/>
      <c r="AM59" s="246"/>
      <c r="AN59" s="258"/>
    </row>
    <row r="60" spans="1:40" ht="15" customHeight="1">
      <c r="A60" s="4"/>
      <c r="B60" s="1293"/>
      <c r="C60" s="2541"/>
      <c r="D60" s="2542"/>
      <c r="E60" s="2542"/>
      <c r="F60" s="2542"/>
      <c r="G60" s="2542"/>
      <c r="H60" s="2542"/>
      <c r="I60" s="2542"/>
      <c r="J60" s="2542"/>
      <c r="K60" s="2542"/>
      <c r="L60" s="2542"/>
      <c r="M60" s="2542"/>
      <c r="N60" s="2542"/>
      <c r="O60" s="2542"/>
      <c r="P60" s="2542"/>
      <c r="Q60" s="2542"/>
      <c r="R60" s="2542"/>
      <c r="S60" s="2542"/>
      <c r="T60" s="2542"/>
      <c r="U60" s="2542"/>
      <c r="V60" s="2542"/>
      <c r="W60" s="2542"/>
      <c r="X60" s="2542"/>
      <c r="Y60" s="2542"/>
      <c r="Z60" s="2542"/>
      <c r="AA60" s="2543"/>
      <c r="AB60" s="377">
        <f>'GENERAL INFO'!O201</f>
        <v>0</v>
      </c>
      <c r="AC60" s="1871"/>
      <c r="AD60" s="1871"/>
      <c r="AE60" s="1871"/>
      <c r="AF60" s="1871"/>
      <c r="AG60" s="1871"/>
      <c r="AH60" s="1871"/>
      <c r="AI60" s="1871"/>
      <c r="AJ60" s="1871"/>
      <c r="AK60" s="1871"/>
      <c r="AL60" s="1871"/>
      <c r="AM60" s="1871"/>
      <c r="AN60" s="261"/>
    </row>
    <row r="61" spans="1:40" ht="3" customHeight="1">
      <c r="A61" s="4"/>
      <c r="B61" s="142"/>
      <c r="C61" s="147"/>
      <c r="D61" s="148"/>
      <c r="E61" s="148"/>
      <c r="F61" s="148"/>
      <c r="G61" s="148"/>
      <c r="H61" s="148"/>
      <c r="I61" s="148"/>
      <c r="J61" s="148"/>
      <c r="K61" s="148"/>
      <c r="L61" s="149"/>
      <c r="M61" s="148"/>
      <c r="N61" s="148"/>
      <c r="O61" s="148"/>
      <c r="P61" s="148"/>
      <c r="Q61" s="148"/>
      <c r="R61" s="148"/>
      <c r="S61" s="148"/>
      <c r="T61" s="148"/>
      <c r="U61" s="148"/>
      <c r="V61" s="148"/>
      <c r="W61" s="148"/>
      <c r="X61" s="148"/>
      <c r="Y61" s="148"/>
      <c r="Z61" s="148"/>
      <c r="AA61" s="1356"/>
      <c r="AB61" s="1869">
        <f>'GENERAL INFO'!O195</f>
        <v>0</v>
      </c>
      <c r="AC61" s="1870"/>
      <c r="AD61" s="1870"/>
      <c r="AE61" s="1870"/>
      <c r="AF61" s="1870"/>
      <c r="AG61" s="1870"/>
      <c r="AH61" s="1870"/>
      <c r="AI61" s="1870"/>
      <c r="AJ61" s="1870"/>
      <c r="AK61" s="1870"/>
      <c r="AL61" s="1870"/>
      <c r="AM61" s="1870"/>
      <c r="AN61" s="262"/>
    </row>
    <row r="62" spans="1:40" ht="15" customHeight="1">
      <c r="A62" s="4"/>
      <c r="B62" s="141" t="s">
        <v>390</v>
      </c>
      <c r="C62" s="2540" t="s">
        <v>459</v>
      </c>
      <c r="D62" s="298"/>
      <c r="E62" s="298"/>
      <c r="F62" s="298"/>
      <c r="G62" s="298"/>
      <c r="H62" s="298"/>
      <c r="I62" s="298"/>
      <c r="J62" s="298"/>
      <c r="K62" s="298"/>
      <c r="L62" s="298"/>
      <c r="M62" s="298"/>
      <c r="N62" s="298"/>
      <c r="O62" s="298"/>
      <c r="P62" s="298"/>
      <c r="Q62" s="298"/>
      <c r="R62" s="298"/>
      <c r="S62" s="298"/>
      <c r="T62" s="298"/>
      <c r="U62" s="298"/>
      <c r="V62" s="298"/>
      <c r="W62" s="298"/>
      <c r="X62" s="298"/>
      <c r="Y62" s="298"/>
      <c r="Z62" s="298"/>
      <c r="AA62" s="1398"/>
      <c r="AB62" s="376"/>
      <c r="AC62" s="246"/>
      <c r="AD62" s="246"/>
      <c r="AE62" s="246"/>
      <c r="AF62" s="246"/>
      <c r="AG62" s="246"/>
      <c r="AH62" s="246"/>
      <c r="AI62" s="246"/>
      <c r="AJ62" s="246"/>
      <c r="AK62" s="246"/>
      <c r="AL62" s="246"/>
      <c r="AM62" s="246"/>
      <c r="AN62" s="258"/>
    </row>
    <row r="63" spans="1:40" ht="15" customHeight="1">
      <c r="A63" s="4"/>
      <c r="B63" s="1293"/>
      <c r="C63" s="2541"/>
      <c r="D63" s="2542"/>
      <c r="E63" s="2542"/>
      <c r="F63" s="2542"/>
      <c r="G63" s="2542"/>
      <c r="H63" s="2542"/>
      <c r="I63" s="2542"/>
      <c r="J63" s="2542"/>
      <c r="K63" s="2542"/>
      <c r="L63" s="2542"/>
      <c r="M63" s="2542"/>
      <c r="N63" s="2542"/>
      <c r="O63" s="2542"/>
      <c r="P63" s="2542"/>
      <c r="Q63" s="2542"/>
      <c r="R63" s="2542"/>
      <c r="S63" s="2542"/>
      <c r="T63" s="2542"/>
      <c r="U63" s="2542"/>
      <c r="V63" s="2542"/>
      <c r="W63" s="2542"/>
      <c r="X63" s="2542"/>
      <c r="Y63" s="2542"/>
      <c r="Z63" s="2542"/>
      <c r="AA63" s="2543"/>
      <c r="AB63" s="377">
        <f>'GENERAL INFO'!O204</f>
        <v>0</v>
      </c>
      <c r="AC63" s="1871"/>
      <c r="AD63" s="1871"/>
      <c r="AE63" s="1871"/>
      <c r="AF63" s="1871"/>
      <c r="AG63" s="1871"/>
      <c r="AH63" s="1871"/>
      <c r="AI63" s="1871"/>
      <c r="AJ63" s="1871"/>
      <c r="AK63" s="1871"/>
      <c r="AL63" s="1871"/>
      <c r="AM63" s="1871"/>
      <c r="AN63" s="261"/>
    </row>
    <row r="64" spans="1:40" ht="15" customHeight="1">
      <c r="A64" s="4"/>
      <c r="B64" s="141" t="s">
        <v>391</v>
      </c>
      <c r="C64" s="2540" t="s">
        <v>128</v>
      </c>
      <c r="D64" s="298"/>
      <c r="E64" s="298"/>
      <c r="F64" s="298"/>
      <c r="G64" s="298"/>
      <c r="H64" s="298"/>
      <c r="I64" s="298"/>
      <c r="J64" s="298"/>
      <c r="K64" s="298"/>
      <c r="L64" s="298"/>
      <c r="M64" s="298"/>
      <c r="N64" s="298"/>
      <c r="O64" s="298"/>
      <c r="P64" s="298"/>
      <c r="Q64" s="298"/>
      <c r="R64" s="298"/>
      <c r="S64" s="298"/>
      <c r="T64" s="298"/>
      <c r="U64" s="298"/>
      <c r="V64" s="298"/>
      <c r="W64" s="298"/>
      <c r="X64" s="298"/>
      <c r="Y64" s="298"/>
      <c r="Z64" s="298"/>
      <c r="AA64" s="1398"/>
      <c r="AB64" s="376">
        <f>'GENERAL INFO'!O196</f>
        <v>0</v>
      </c>
      <c r="AC64" s="246"/>
      <c r="AD64" s="246"/>
      <c r="AE64" s="246"/>
      <c r="AF64" s="246"/>
      <c r="AG64" s="246"/>
      <c r="AH64" s="246"/>
      <c r="AI64" s="246"/>
      <c r="AJ64" s="246"/>
      <c r="AK64" s="246"/>
      <c r="AL64" s="246"/>
      <c r="AM64" s="246"/>
      <c r="AN64" s="258"/>
    </row>
    <row r="65" spans="1:40" ht="15" customHeight="1">
      <c r="A65" s="4"/>
      <c r="B65" s="141"/>
      <c r="C65" s="2541"/>
      <c r="D65" s="2542"/>
      <c r="E65" s="2542"/>
      <c r="F65" s="2542"/>
      <c r="G65" s="2542"/>
      <c r="H65" s="2542"/>
      <c r="I65" s="2542"/>
      <c r="J65" s="2542"/>
      <c r="K65" s="2542"/>
      <c r="L65" s="2542"/>
      <c r="M65" s="2542"/>
      <c r="N65" s="2542"/>
      <c r="O65" s="2542"/>
      <c r="P65" s="2542"/>
      <c r="Q65" s="2542"/>
      <c r="R65" s="2542"/>
      <c r="S65" s="2542"/>
      <c r="T65" s="2542"/>
      <c r="U65" s="2542"/>
      <c r="V65" s="2542"/>
      <c r="W65" s="2542"/>
      <c r="X65" s="2542"/>
      <c r="Y65" s="2542"/>
      <c r="Z65" s="2542"/>
      <c r="AA65" s="2543"/>
      <c r="AB65" s="377"/>
      <c r="AC65" s="1871"/>
      <c r="AD65" s="1871"/>
      <c r="AE65" s="1871"/>
      <c r="AF65" s="1871"/>
      <c r="AG65" s="1871"/>
      <c r="AH65" s="1871"/>
      <c r="AI65" s="1871"/>
      <c r="AJ65" s="1871"/>
      <c r="AK65" s="1871"/>
      <c r="AL65" s="1871"/>
      <c r="AM65" s="1871"/>
      <c r="AN65" s="261"/>
    </row>
    <row r="66" spans="1:40" ht="3" customHeight="1">
      <c r="A66" s="4"/>
      <c r="B66" s="142"/>
      <c r="C66" s="147"/>
      <c r="D66" s="148"/>
      <c r="E66" s="148"/>
      <c r="F66" s="148"/>
      <c r="G66" s="148"/>
      <c r="H66" s="148"/>
      <c r="I66" s="148"/>
      <c r="J66" s="148"/>
      <c r="K66" s="148"/>
      <c r="L66" s="149"/>
      <c r="M66" s="148"/>
      <c r="N66" s="148"/>
      <c r="O66" s="148"/>
      <c r="P66" s="148"/>
      <c r="Q66" s="148"/>
      <c r="R66" s="148"/>
      <c r="S66" s="148"/>
      <c r="T66" s="148"/>
      <c r="U66" s="148"/>
      <c r="V66" s="148"/>
      <c r="W66" s="148"/>
      <c r="X66" s="148"/>
      <c r="Y66" s="148"/>
      <c r="Z66" s="142" t="s">
        <v>111</v>
      </c>
      <c r="AA66" s="1895"/>
      <c r="AB66" s="1869">
        <f>AB50+AB52+AB55+AB58+AB61+AB64</f>
        <v>0</v>
      </c>
      <c r="AC66" s="1870"/>
      <c r="AD66" s="1870"/>
      <c r="AE66" s="1870"/>
      <c r="AF66" s="1870"/>
      <c r="AG66" s="1870"/>
      <c r="AH66" s="1870"/>
      <c r="AI66" s="1870"/>
      <c r="AJ66" s="1870"/>
      <c r="AK66" s="1870"/>
      <c r="AL66" s="1870"/>
      <c r="AM66" s="1870"/>
      <c r="AN66" s="262"/>
    </row>
    <row r="67" spans="1:40" ht="15" customHeight="1">
      <c r="A67" s="4"/>
      <c r="B67" s="141"/>
      <c r="C67" s="141" t="s">
        <v>110</v>
      </c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67"/>
      <c r="Q67" s="67"/>
      <c r="R67" s="67"/>
      <c r="S67" s="67"/>
      <c r="T67" s="67"/>
      <c r="U67" s="67"/>
      <c r="V67" s="67"/>
      <c r="W67" s="67"/>
      <c r="X67" s="67"/>
      <c r="Y67" s="297"/>
      <c r="Z67" s="141"/>
      <c r="AA67" s="297"/>
      <c r="AB67" s="376"/>
      <c r="AC67" s="246"/>
      <c r="AD67" s="246"/>
      <c r="AE67" s="246"/>
      <c r="AF67" s="246"/>
      <c r="AG67" s="246"/>
      <c r="AH67" s="246"/>
      <c r="AI67" s="246"/>
      <c r="AJ67" s="246"/>
      <c r="AK67" s="246"/>
      <c r="AL67" s="246"/>
      <c r="AM67" s="246"/>
      <c r="AN67" s="258"/>
    </row>
    <row r="68" spans="1:40" ht="15" customHeight="1">
      <c r="A68" s="4"/>
      <c r="B68" s="1293"/>
      <c r="C68" s="1293"/>
      <c r="D68" s="1901"/>
      <c r="E68" s="1901"/>
      <c r="F68" s="1901"/>
      <c r="G68" s="1901"/>
      <c r="H68" s="1901"/>
      <c r="I68" s="1901"/>
      <c r="J68" s="1901"/>
      <c r="K68" s="1901"/>
      <c r="L68" s="1901"/>
      <c r="M68" s="1901"/>
      <c r="N68" s="1901"/>
      <c r="O68" s="1901"/>
      <c r="P68" s="1901"/>
      <c r="Q68" s="1901"/>
      <c r="R68" s="1901"/>
      <c r="S68" s="1901"/>
      <c r="T68" s="1901"/>
      <c r="U68" s="1901"/>
      <c r="V68" s="1901"/>
      <c r="W68" s="1901"/>
      <c r="X68" s="1901"/>
      <c r="Y68" s="1896"/>
      <c r="Z68" s="1293"/>
      <c r="AA68" s="1896"/>
      <c r="AB68" s="377"/>
      <c r="AC68" s="1871"/>
      <c r="AD68" s="1871"/>
      <c r="AE68" s="1871"/>
      <c r="AF68" s="1871"/>
      <c r="AG68" s="1871"/>
      <c r="AH68" s="1871"/>
      <c r="AI68" s="1871"/>
      <c r="AJ68" s="1871"/>
      <c r="AK68" s="1871"/>
      <c r="AL68" s="1871"/>
      <c r="AM68" s="1871"/>
      <c r="AN68" s="261"/>
    </row>
    <row r="69" spans="1:40" ht="3" customHeight="1">
      <c r="A69" s="4"/>
      <c r="B69" s="132"/>
      <c r="C69" s="132"/>
      <c r="D69" s="133"/>
      <c r="E69" s="133"/>
      <c r="F69" s="133"/>
      <c r="G69" s="133"/>
      <c r="H69" s="133"/>
      <c r="I69" s="133"/>
      <c r="J69" s="133"/>
      <c r="K69" s="133"/>
      <c r="L69" s="132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  <c r="AA69" s="133"/>
      <c r="AB69" s="1914"/>
      <c r="AC69" s="1914"/>
      <c r="AD69" s="1914"/>
      <c r="AE69" s="1914"/>
      <c r="AF69" s="1914"/>
      <c r="AG69" s="1914"/>
      <c r="AH69" s="1914"/>
      <c r="AI69" s="1914"/>
      <c r="AJ69" s="1914"/>
      <c r="AK69" s="1914"/>
      <c r="AL69" s="1914"/>
      <c r="AM69" s="1914"/>
      <c r="AN69" s="1914"/>
    </row>
    <row r="70" spans="1:40" ht="12" customHeight="1">
      <c r="A70" s="4"/>
      <c r="B70" s="17"/>
      <c r="C70" s="17"/>
      <c r="D70" s="11"/>
      <c r="E70" s="11"/>
      <c r="F70" s="11"/>
      <c r="G70" s="11"/>
      <c r="H70" s="11"/>
      <c r="I70" s="11"/>
      <c r="J70" s="11"/>
      <c r="K70" s="11"/>
      <c r="L70" s="17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</row>
    <row r="71" spans="1:41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1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</row>
    <row r="72" spans="1:41" ht="15" customHeight="1">
      <c r="A72" s="4"/>
      <c r="B72" s="71" t="s">
        <v>59</v>
      </c>
      <c r="C72" s="71"/>
      <c r="D72" s="71"/>
      <c r="E72" s="71" t="s">
        <v>26</v>
      </c>
      <c r="F72" s="71" t="s">
        <v>425</v>
      </c>
      <c r="G72" s="71"/>
      <c r="H72" s="71"/>
      <c r="I72" s="71"/>
      <c r="J72" s="71"/>
      <c r="K72" s="71"/>
      <c r="L72" s="72"/>
      <c r="M72" s="71"/>
      <c r="N72" s="71"/>
      <c r="O72" s="71"/>
      <c r="P72" s="71"/>
      <c r="Q72" s="71"/>
      <c r="R72" s="71"/>
      <c r="S72" s="71"/>
      <c r="T72" s="71"/>
      <c r="U72" s="71"/>
      <c r="V72" s="71"/>
      <c r="W72" s="71"/>
      <c r="X72" s="76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</row>
    <row r="73" spans="1:41" ht="3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1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</row>
    <row r="74" spans="1:41" ht="3" customHeight="1">
      <c r="A74" s="4"/>
      <c r="B74" s="87"/>
      <c r="C74" s="4"/>
      <c r="D74" s="4"/>
      <c r="E74" s="4"/>
      <c r="F74" s="4"/>
      <c r="G74" s="4"/>
      <c r="H74" s="4"/>
      <c r="I74" s="4"/>
      <c r="J74" s="4"/>
      <c r="K74" s="4"/>
      <c r="L74" s="41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86"/>
      <c r="AO74" s="4"/>
    </row>
    <row r="75" spans="1:41" ht="15" customHeight="1">
      <c r="A75" s="4"/>
      <c r="B75" s="142" t="s">
        <v>84</v>
      </c>
      <c r="C75" s="146" t="s">
        <v>135</v>
      </c>
      <c r="D75" s="149"/>
      <c r="E75" s="149"/>
      <c r="F75" s="149"/>
      <c r="G75" s="149"/>
      <c r="H75" s="149"/>
      <c r="I75" s="149"/>
      <c r="J75" s="149"/>
      <c r="K75" s="2550"/>
      <c r="L75" s="1307" t="s">
        <v>133</v>
      </c>
      <c r="M75" s="1307"/>
      <c r="N75" s="1307"/>
      <c r="O75" s="1307"/>
      <c r="P75" s="1307"/>
      <c r="Q75" s="1307"/>
      <c r="R75" s="1307"/>
      <c r="S75" s="1307"/>
      <c r="T75" s="146" t="s">
        <v>97</v>
      </c>
      <c r="U75" s="149"/>
      <c r="V75" s="149"/>
      <c r="W75" s="149"/>
      <c r="X75" s="149"/>
      <c r="Y75" s="149"/>
      <c r="Z75" s="149"/>
      <c r="AA75" s="2550"/>
      <c r="AB75" s="146" t="s">
        <v>157</v>
      </c>
      <c r="AC75" s="149"/>
      <c r="AD75" s="149"/>
      <c r="AE75" s="149"/>
      <c r="AF75" s="2550"/>
      <c r="AG75" s="149" t="s">
        <v>106</v>
      </c>
      <c r="AH75" s="149"/>
      <c r="AI75" s="149"/>
      <c r="AJ75" s="149"/>
      <c r="AK75" s="149"/>
      <c r="AL75" s="149"/>
      <c r="AM75" s="149"/>
      <c r="AN75" s="2550"/>
      <c r="AO75" s="4"/>
    </row>
    <row r="76" spans="1:41" ht="15" customHeight="1">
      <c r="A76" s="4"/>
      <c r="B76" s="141"/>
      <c r="C76" s="141" t="s">
        <v>96</v>
      </c>
      <c r="D76" s="67"/>
      <c r="E76" s="67"/>
      <c r="F76" s="67"/>
      <c r="G76" s="67"/>
      <c r="H76" s="67"/>
      <c r="I76" s="67"/>
      <c r="J76" s="67"/>
      <c r="K76" s="297"/>
      <c r="L76" s="67" t="s">
        <v>96</v>
      </c>
      <c r="M76" s="67"/>
      <c r="N76" s="67"/>
      <c r="O76" s="67"/>
      <c r="P76" s="67"/>
      <c r="Q76" s="67"/>
      <c r="R76" s="67"/>
      <c r="S76" s="67"/>
      <c r="T76" s="154" t="s">
        <v>105</v>
      </c>
      <c r="U76" s="79"/>
      <c r="V76" s="79"/>
      <c r="W76" s="79"/>
      <c r="X76" s="79"/>
      <c r="Y76" s="79"/>
      <c r="Z76" s="79"/>
      <c r="AA76" s="2546"/>
      <c r="AB76" s="154" t="s">
        <v>98</v>
      </c>
      <c r="AC76" s="79"/>
      <c r="AD76" s="79"/>
      <c r="AE76" s="79"/>
      <c r="AF76" s="2546"/>
      <c r="AG76" s="67" t="s">
        <v>107</v>
      </c>
      <c r="AH76" s="67"/>
      <c r="AI76" s="67"/>
      <c r="AJ76" s="67"/>
      <c r="AK76" s="67"/>
      <c r="AL76" s="67"/>
      <c r="AM76" s="67"/>
      <c r="AN76" s="297"/>
      <c r="AO76" s="4"/>
    </row>
    <row r="77" spans="1:41" ht="15" customHeight="1">
      <c r="A77" s="4"/>
      <c r="B77" s="141"/>
      <c r="C77" s="141"/>
      <c r="D77" s="67"/>
      <c r="E77" s="67"/>
      <c r="F77" s="67"/>
      <c r="G77" s="67"/>
      <c r="H77" s="67"/>
      <c r="I77" s="67"/>
      <c r="J77" s="67"/>
      <c r="K77" s="297"/>
      <c r="L77" s="67"/>
      <c r="M77" s="67"/>
      <c r="N77" s="67"/>
      <c r="O77" s="67"/>
      <c r="P77" s="67"/>
      <c r="Q77" s="67"/>
      <c r="R77" s="67"/>
      <c r="S77" s="67"/>
      <c r="T77" s="2547" t="s">
        <v>153</v>
      </c>
      <c r="U77" s="2548"/>
      <c r="V77" s="2548"/>
      <c r="W77" s="2548"/>
      <c r="X77" s="2547" t="s">
        <v>50</v>
      </c>
      <c r="Y77" s="2548"/>
      <c r="Z77" s="2548"/>
      <c r="AA77" s="2549"/>
      <c r="AB77" s="154" t="s">
        <v>426</v>
      </c>
      <c r="AC77" s="79"/>
      <c r="AD77" s="79"/>
      <c r="AE77" s="79"/>
      <c r="AF77" s="2546"/>
      <c r="AG77" s="67"/>
      <c r="AH77" s="67"/>
      <c r="AI77" s="67"/>
      <c r="AJ77" s="67"/>
      <c r="AK77" s="67"/>
      <c r="AL77" s="67"/>
      <c r="AM77" s="67"/>
      <c r="AN77" s="297"/>
      <c r="AO77" s="4"/>
    </row>
    <row r="78" spans="1:41" ht="3" customHeight="1">
      <c r="A78" s="4"/>
      <c r="B78" s="160"/>
      <c r="C78" s="161"/>
      <c r="D78" s="133"/>
      <c r="E78" s="133"/>
      <c r="F78" s="133"/>
      <c r="G78" s="133"/>
      <c r="H78" s="133"/>
      <c r="I78" s="133"/>
      <c r="J78" s="133"/>
      <c r="K78" s="135"/>
      <c r="L78" s="162"/>
      <c r="M78" s="45"/>
      <c r="N78" s="45"/>
      <c r="O78" s="45"/>
      <c r="P78" s="163"/>
      <c r="Q78" s="164"/>
      <c r="R78" s="164"/>
      <c r="S78" s="45"/>
      <c r="T78" s="1909" t="s">
        <v>67</v>
      </c>
      <c r="U78" s="1910"/>
      <c r="V78" s="1910"/>
      <c r="W78" s="1911"/>
      <c r="X78" s="1910" t="s">
        <v>68</v>
      </c>
      <c r="Y78" s="1910"/>
      <c r="Z78" s="1910"/>
      <c r="AA78" s="1910"/>
      <c r="AB78" s="165"/>
      <c r="AC78" s="164"/>
      <c r="AD78" s="166"/>
      <c r="AE78" s="164"/>
      <c r="AF78" s="167"/>
      <c r="AG78" s="164"/>
      <c r="AH78" s="45"/>
      <c r="AI78" s="45"/>
      <c r="AJ78" s="45"/>
      <c r="AK78" s="45"/>
      <c r="AL78" s="45"/>
      <c r="AM78" s="45"/>
      <c r="AN78" s="150"/>
      <c r="AO78" s="4"/>
    </row>
    <row r="79" spans="2:40" s="68" customFormat="1" ht="15" customHeight="1">
      <c r="B79" s="168" t="s">
        <v>65</v>
      </c>
      <c r="C79" s="168" t="s">
        <v>64</v>
      </c>
      <c r="D79" s="1912"/>
      <c r="E79" s="1912"/>
      <c r="F79" s="1912"/>
      <c r="G79" s="1912"/>
      <c r="H79" s="1912"/>
      <c r="I79" s="1912"/>
      <c r="J79" s="1912"/>
      <c r="K79" s="1913"/>
      <c r="L79" s="1912" t="s">
        <v>66</v>
      </c>
      <c r="M79" s="1912"/>
      <c r="N79" s="1912"/>
      <c r="O79" s="1912"/>
      <c r="P79" s="1912"/>
      <c r="Q79" s="1912"/>
      <c r="R79" s="1912"/>
      <c r="S79" s="1912"/>
      <c r="T79" s="168"/>
      <c r="U79" s="1912"/>
      <c r="V79" s="1912"/>
      <c r="W79" s="1913"/>
      <c r="X79" s="1912"/>
      <c r="Y79" s="1912"/>
      <c r="Z79" s="1912"/>
      <c r="AA79" s="1912"/>
      <c r="AB79" s="168" t="s">
        <v>100</v>
      </c>
      <c r="AC79" s="1912"/>
      <c r="AD79" s="1912"/>
      <c r="AE79" s="1912"/>
      <c r="AF79" s="1913"/>
      <c r="AG79" s="1912" t="s">
        <v>154</v>
      </c>
      <c r="AH79" s="1912"/>
      <c r="AI79" s="1912"/>
      <c r="AJ79" s="1912"/>
      <c r="AK79" s="1912"/>
      <c r="AL79" s="1912"/>
      <c r="AM79" s="1912"/>
      <c r="AN79" s="1913"/>
    </row>
    <row r="80" spans="1:55" s="336" customFormat="1" ht="18.75" customHeight="1">
      <c r="A80" s="334"/>
      <c r="B80" s="1919" t="s">
        <v>386</v>
      </c>
      <c r="C80" s="2562">
        <f>'1770 S-1 JP'!C80</f>
        <v>0</v>
      </c>
      <c r="D80" s="2563"/>
      <c r="E80" s="2563"/>
      <c r="F80" s="2563"/>
      <c r="G80" s="2563"/>
      <c r="H80" s="2563"/>
      <c r="I80" s="2563"/>
      <c r="J80" s="2563"/>
      <c r="K80" s="2564"/>
      <c r="L80" s="2594" t="str">
        <f>'1770 S-1 JP'!L80:S81</f>
        <v>-</v>
      </c>
      <c r="M80" s="2595"/>
      <c r="N80" s="2595"/>
      <c r="O80" s="2595"/>
      <c r="P80" s="2595"/>
      <c r="Q80" s="2595"/>
      <c r="R80" s="2595"/>
      <c r="S80" s="2596"/>
      <c r="T80" s="2554" t="str">
        <f>'1770 S-1 JP'!T80:W81</f>
        <v>.---</v>
      </c>
      <c r="U80" s="2555"/>
      <c r="V80" s="2555"/>
      <c r="W80" s="2593"/>
      <c r="X80" s="1929">
        <f>'1770 S-1 JP'!X80:AA81</f>
        <v>0</v>
      </c>
      <c r="Y80" s="1930"/>
      <c r="Z80" s="1930"/>
      <c r="AA80" s="1931"/>
      <c r="AB80" s="1316" t="str">
        <f>'1770 S-1 JP'!AB80:AF81</f>
        <v>-</v>
      </c>
      <c r="AC80" s="1317"/>
      <c r="AD80" s="1317"/>
      <c r="AE80" s="1317"/>
      <c r="AF80" s="1318"/>
      <c r="AG80" s="2554">
        <f>'1770 S-1 JP'!AG80</f>
        <v>0</v>
      </c>
      <c r="AH80" s="2555"/>
      <c r="AI80" s="2555"/>
      <c r="AJ80" s="2555"/>
      <c r="AK80" s="2555"/>
      <c r="AL80" s="2555"/>
      <c r="AM80" s="2555"/>
      <c r="AN80" s="326"/>
      <c r="AO80" s="335"/>
      <c r="AP80" s="1286" t="s">
        <v>1398</v>
      </c>
      <c r="AQ80" s="11"/>
      <c r="AR80" s="11"/>
      <c r="AS80" s="11"/>
      <c r="AT80" s="11"/>
      <c r="AU80" s="11"/>
      <c r="AV80" s="335"/>
      <c r="AW80" s="335"/>
      <c r="AX80" s="335"/>
      <c r="AY80" s="335"/>
      <c r="AZ80" s="335"/>
      <c r="BA80" s="335"/>
      <c r="BB80" s="335"/>
      <c r="BC80" s="335"/>
    </row>
    <row r="81" spans="1:55" s="336" customFormat="1" ht="18.75" customHeight="1">
      <c r="A81" s="334"/>
      <c r="B81" s="1920"/>
      <c r="C81" s="2565"/>
      <c r="D81" s="2566"/>
      <c r="E81" s="2566"/>
      <c r="F81" s="2566"/>
      <c r="G81" s="2566"/>
      <c r="H81" s="2566"/>
      <c r="I81" s="2566"/>
      <c r="J81" s="2566"/>
      <c r="K81" s="2567"/>
      <c r="L81" s="2597"/>
      <c r="M81" s="2598"/>
      <c r="N81" s="2598"/>
      <c r="O81" s="2598"/>
      <c r="P81" s="2598"/>
      <c r="Q81" s="2598"/>
      <c r="R81" s="2598"/>
      <c r="S81" s="2599"/>
      <c r="T81" s="2556"/>
      <c r="U81" s="2557"/>
      <c r="V81" s="2557"/>
      <c r="W81" s="2561"/>
      <c r="X81" s="1932"/>
      <c r="Y81" s="1933"/>
      <c r="Z81" s="1933"/>
      <c r="AA81" s="1934"/>
      <c r="AB81" s="2551"/>
      <c r="AC81" s="2552"/>
      <c r="AD81" s="2552"/>
      <c r="AE81" s="2552"/>
      <c r="AF81" s="2553"/>
      <c r="AG81" s="2556"/>
      <c r="AH81" s="2557"/>
      <c r="AI81" s="2557"/>
      <c r="AJ81" s="2557"/>
      <c r="AK81" s="2557"/>
      <c r="AL81" s="2557"/>
      <c r="AM81" s="2557"/>
      <c r="AN81" s="1344"/>
      <c r="AO81" s="335"/>
      <c r="AP81" s="335"/>
      <c r="AQ81" s="335"/>
      <c r="AR81" s="335"/>
      <c r="AS81" s="335"/>
      <c r="AT81" s="335"/>
      <c r="AU81" s="335"/>
      <c r="AV81" s="335"/>
      <c r="AW81" s="335"/>
      <c r="AX81" s="335"/>
      <c r="AY81" s="335"/>
      <c r="AZ81" s="335"/>
      <c r="BA81" s="335"/>
      <c r="BB81" s="335"/>
      <c r="BC81" s="335"/>
    </row>
    <row r="82" spans="1:55" s="336" customFormat="1" ht="3" customHeight="1">
      <c r="A82" s="334"/>
      <c r="B82" s="328"/>
      <c r="C82" s="294"/>
      <c r="D82" s="295"/>
      <c r="E82" s="295"/>
      <c r="F82" s="295"/>
      <c r="G82" s="295"/>
      <c r="H82" s="295"/>
      <c r="I82" s="295"/>
      <c r="J82" s="295"/>
      <c r="K82" s="296"/>
      <c r="L82" s="337"/>
      <c r="M82" s="337"/>
      <c r="N82" s="337"/>
      <c r="O82" s="337"/>
      <c r="P82" s="337"/>
      <c r="Q82" s="337"/>
      <c r="R82" s="337"/>
      <c r="S82" s="337"/>
      <c r="T82" s="294"/>
      <c r="U82" s="295"/>
      <c r="V82" s="295"/>
      <c r="W82" s="296"/>
      <c r="X82" s="329"/>
      <c r="Y82" s="330"/>
      <c r="Z82" s="329"/>
      <c r="AA82" s="329"/>
      <c r="AB82" s="331"/>
      <c r="AC82" s="329"/>
      <c r="AD82" s="330"/>
      <c r="AE82" s="329"/>
      <c r="AF82" s="332"/>
      <c r="AG82" s="329"/>
      <c r="AH82" s="329"/>
      <c r="AI82" s="329"/>
      <c r="AJ82" s="329"/>
      <c r="AK82" s="329"/>
      <c r="AL82" s="329"/>
      <c r="AM82" s="329"/>
      <c r="AN82" s="332"/>
      <c r="AO82" s="335"/>
      <c r="AP82" s="335"/>
      <c r="AQ82" s="335"/>
      <c r="AR82" s="335"/>
      <c r="AS82" s="335"/>
      <c r="AT82" s="335"/>
      <c r="AU82" s="335"/>
      <c r="AV82" s="335"/>
      <c r="AW82" s="335"/>
      <c r="AX82" s="335"/>
      <c r="AY82" s="335"/>
      <c r="AZ82" s="335"/>
      <c r="BA82" s="335"/>
      <c r="BB82" s="335"/>
      <c r="BC82" s="335"/>
    </row>
    <row r="83" spans="1:55" s="336" customFormat="1" ht="18.75" customHeight="1">
      <c r="A83" s="334"/>
      <c r="B83" s="338" t="s">
        <v>387</v>
      </c>
      <c r="C83" s="2558" t="str">
        <f>'1770 S-1 JP'!C83:K84</f>
        <v>-</v>
      </c>
      <c r="D83" s="2559"/>
      <c r="E83" s="2559"/>
      <c r="F83" s="2559"/>
      <c r="G83" s="2559"/>
      <c r="H83" s="2559"/>
      <c r="I83" s="2559"/>
      <c r="J83" s="2559"/>
      <c r="K83" s="2560"/>
      <c r="L83" s="2600" t="str">
        <f>'1770 S-1 JP'!L83:S84</f>
        <v>-</v>
      </c>
      <c r="M83" s="2601"/>
      <c r="N83" s="2601"/>
      <c r="O83" s="2601"/>
      <c r="P83" s="2601"/>
      <c r="Q83" s="2601"/>
      <c r="R83" s="2601"/>
      <c r="S83" s="2602"/>
      <c r="T83" s="2558" t="str">
        <f>'1770 S-1 JP'!T83:W84</f>
        <v>.---</v>
      </c>
      <c r="U83" s="2559"/>
      <c r="V83" s="2559"/>
      <c r="W83" s="2560"/>
      <c r="X83" s="1940" t="str">
        <f>'1770 S-1 JP'!X83:AA84</f>
        <v>-</v>
      </c>
      <c r="Y83" s="1941"/>
      <c r="Z83" s="1941"/>
      <c r="AA83" s="1942"/>
      <c r="AB83" s="2558" t="str">
        <f>'1770 S-1 JP'!AB83:AF84</f>
        <v>-</v>
      </c>
      <c r="AC83" s="2559"/>
      <c r="AD83" s="2559"/>
      <c r="AE83" s="2559"/>
      <c r="AF83" s="2560"/>
      <c r="AG83" s="2558">
        <f>+'1770 S-1 JP'!AG83</f>
        <v>0</v>
      </c>
      <c r="AH83" s="2559"/>
      <c r="AI83" s="2559"/>
      <c r="AJ83" s="2559"/>
      <c r="AK83" s="2559"/>
      <c r="AL83" s="2559"/>
      <c r="AM83" s="2559"/>
      <c r="AN83" s="333"/>
      <c r="AO83" s="335"/>
      <c r="AP83" s="335"/>
      <c r="AQ83" s="335"/>
      <c r="AR83" s="335"/>
      <c r="AS83" s="335"/>
      <c r="AT83" s="335"/>
      <c r="AU83" s="335"/>
      <c r="AV83" s="335"/>
      <c r="AW83" s="335"/>
      <c r="AX83" s="335"/>
      <c r="AY83" s="335"/>
      <c r="AZ83" s="335"/>
      <c r="BA83" s="335"/>
      <c r="BB83" s="335"/>
      <c r="BC83" s="335"/>
    </row>
    <row r="84" spans="1:55" s="336" customFormat="1" ht="18.75" customHeight="1">
      <c r="A84" s="334"/>
      <c r="B84" s="1920"/>
      <c r="C84" s="2556"/>
      <c r="D84" s="2557"/>
      <c r="E84" s="2557"/>
      <c r="F84" s="2557"/>
      <c r="G84" s="2557"/>
      <c r="H84" s="2557"/>
      <c r="I84" s="2557"/>
      <c r="J84" s="2557"/>
      <c r="K84" s="2561"/>
      <c r="L84" s="2597"/>
      <c r="M84" s="2598"/>
      <c r="N84" s="2598"/>
      <c r="O84" s="2598"/>
      <c r="P84" s="2598"/>
      <c r="Q84" s="2598"/>
      <c r="R84" s="2598"/>
      <c r="S84" s="2599"/>
      <c r="T84" s="2556"/>
      <c r="U84" s="2557"/>
      <c r="V84" s="2557"/>
      <c r="W84" s="2561"/>
      <c r="X84" s="1932"/>
      <c r="Y84" s="1933"/>
      <c r="Z84" s="1933"/>
      <c r="AA84" s="1934"/>
      <c r="AB84" s="2556"/>
      <c r="AC84" s="2557"/>
      <c r="AD84" s="2557"/>
      <c r="AE84" s="2557"/>
      <c r="AF84" s="2561"/>
      <c r="AG84" s="2556"/>
      <c r="AH84" s="2557"/>
      <c r="AI84" s="2557"/>
      <c r="AJ84" s="2557"/>
      <c r="AK84" s="2557"/>
      <c r="AL84" s="2557"/>
      <c r="AM84" s="2557"/>
      <c r="AN84" s="1344"/>
      <c r="AO84" s="335"/>
      <c r="AP84" s="335"/>
      <c r="AQ84" s="335"/>
      <c r="AR84" s="335"/>
      <c r="AS84" s="335"/>
      <c r="AT84" s="335"/>
      <c r="AU84" s="335"/>
      <c r="AV84" s="335"/>
      <c r="AW84" s="335"/>
      <c r="AX84" s="335"/>
      <c r="AY84" s="335"/>
      <c r="AZ84" s="335"/>
      <c r="BA84" s="335"/>
      <c r="BB84" s="335"/>
      <c r="BC84" s="335"/>
    </row>
    <row r="85" spans="1:55" s="336" customFormat="1" ht="3" customHeight="1">
      <c r="A85" s="334"/>
      <c r="B85" s="328"/>
      <c r="C85" s="294"/>
      <c r="D85" s="295"/>
      <c r="E85" s="295"/>
      <c r="F85" s="295"/>
      <c r="G85" s="295"/>
      <c r="H85" s="295"/>
      <c r="I85" s="295"/>
      <c r="J85" s="295"/>
      <c r="K85" s="296"/>
      <c r="L85" s="337"/>
      <c r="M85" s="337"/>
      <c r="N85" s="337"/>
      <c r="O85" s="337"/>
      <c r="P85" s="337"/>
      <c r="Q85" s="337"/>
      <c r="R85" s="337"/>
      <c r="S85" s="337"/>
      <c r="T85" s="294"/>
      <c r="U85" s="295"/>
      <c r="V85" s="295"/>
      <c r="W85" s="296"/>
      <c r="X85" s="329"/>
      <c r="Y85" s="330"/>
      <c r="Z85" s="329"/>
      <c r="AA85" s="329"/>
      <c r="AB85" s="294"/>
      <c r="AC85" s="295"/>
      <c r="AD85" s="330"/>
      <c r="AE85" s="295"/>
      <c r="AF85" s="296"/>
      <c r="AG85" s="329"/>
      <c r="AH85" s="329"/>
      <c r="AI85" s="329"/>
      <c r="AJ85" s="329"/>
      <c r="AK85" s="329"/>
      <c r="AL85" s="329"/>
      <c r="AM85" s="329"/>
      <c r="AN85" s="332"/>
      <c r="AO85" s="335"/>
      <c r="AP85" s="335"/>
      <c r="AQ85" s="335"/>
      <c r="AR85" s="335"/>
      <c r="AS85" s="335"/>
      <c r="AT85" s="335"/>
      <c r="AU85" s="335"/>
      <c r="AV85" s="335"/>
      <c r="AW85" s="335"/>
      <c r="AX85" s="335"/>
      <c r="AY85" s="335"/>
      <c r="AZ85" s="335"/>
      <c r="BA85" s="335"/>
      <c r="BB85" s="335"/>
      <c r="BC85" s="335"/>
    </row>
    <row r="86" spans="1:55" s="336" customFormat="1" ht="18.75" customHeight="1">
      <c r="A86" s="334"/>
      <c r="B86" s="338" t="s">
        <v>388</v>
      </c>
      <c r="C86" s="2558" t="str">
        <f>'1770 S-1 JP'!C86:K87</f>
        <v>-</v>
      </c>
      <c r="D86" s="2559"/>
      <c r="E86" s="2559"/>
      <c r="F86" s="2559"/>
      <c r="G86" s="2559"/>
      <c r="H86" s="2559"/>
      <c r="I86" s="2559"/>
      <c r="J86" s="2559"/>
      <c r="K86" s="2560"/>
      <c r="L86" s="2600" t="str">
        <f>'1770 S-1 JP'!L86:S87</f>
        <v>-</v>
      </c>
      <c r="M86" s="2601"/>
      <c r="N86" s="2601"/>
      <c r="O86" s="2601"/>
      <c r="P86" s="2601"/>
      <c r="Q86" s="2601"/>
      <c r="R86" s="2601"/>
      <c r="S86" s="2602"/>
      <c r="T86" s="2558" t="str">
        <f>'1770 S-1 JP'!T86:W87</f>
        <v>-</v>
      </c>
      <c r="U86" s="2559"/>
      <c r="V86" s="2559"/>
      <c r="W86" s="2560"/>
      <c r="X86" s="1940" t="str">
        <f>'1770 S-1 JP'!X86:AA87</f>
        <v>-</v>
      </c>
      <c r="Y86" s="1941"/>
      <c r="Z86" s="1941"/>
      <c r="AA86" s="1942"/>
      <c r="AB86" s="2558" t="str">
        <f>'1770 S-1 JP'!AB86:AF87</f>
        <v>-</v>
      </c>
      <c r="AC86" s="2559"/>
      <c r="AD86" s="2559"/>
      <c r="AE86" s="2559"/>
      <c r="AF86" s="2560"/>
      <c r="AG86" s="2558">
        <f>+'1770 S-1 JP'!AG85</f>
        <v>0</v>
      </c>
      <c r="AH86" s="2559"/>
      <c r="AI86" s="2559"/>
      <c r="AJ86" s="2559"/>
      <c r="AK86" s="2559"/>
      <c r="AL86" s="2559"/>
      <c r="AM86" s="2559"/>
      <c r="AN86" s="333"/>
      <c r="AO86" s="335"/>
      <c r="AP86" s="335"/>
      <c r="AQ86" s="335"/>
      <c r="AR86" s="335"/>
      <c r="AS86" s="335"/>
      <c r="AT86" s="335"/>
      <c r="AU86" s="335"/>
      <c r="AV86" s="335"/>
      <c r="AW86" s="335"/>
      <c r="AX86" s="335"/>
      <c r="AY86" s="335"/>
      <c r="AZ86" s="335"/>
      <c r="BA86" s="335"/>
      <c r="BB86" s="335"/>
      <c r="BC86" s="335"/>
    </row>
    <row r="87" spans="1:55" s="336" customFormat="1" ht="18.75" customHeight="1">
      <c r="A87" s="334"/>
      <c r="B87" s="1920"/>
      <c r="C87" s="2556"/>
      <c r="D87" s="2557"/>
      <c r="E87" s="2557"/>
      <c r="F87" s="2557"/>
      <c r="G87" s="2557"/>
      <c r="H87" s="2557"/>
      <c r="I87" s="2557"/>
      <c r="J87" s="2557"/>
      <c r="K87" s="2561"/>
      <c r="L87" s="2597"/>
      <c r="M87" s="2598"/>
      <c r="N87" s="2598"/>
      <c r="O87" s="2598"/>
      <c r="P87" s="2598"/>
      <c r="Q87" s="2598"/>
      <c r="R87" s="2598"/>
      <c r="S87" s="2599"/>
      <c r="T87" s="2556"/>
      <c r="U87" s="2557"/>
      <c r="V87" s="2557"/>
      <c r="W87" s="2561"/>
      <c r="X87" s="1932"/>
      <c r="Y87" s="1933"/>
      <c r="Z87" s="1933"/>
      <c r="AA87" s="1934"/>
      <c r="AB87" s="2556"/>
      <c r="AC87" s="2557"/>
      <c r="AD87" s="2557"/>
      <c r="AE87" s="2557"/>
      <c r="AF87" s="2561"/>
      <c r="AG87" s="2556"/>
      <c r="AH87" s="2557"/>
      <c r="AI87" s="2557"/>
      <c r="AJ87" s="2557"/>
      <c r="AK87" s="2557"/>
      <c r="AL87" s="2557"/>
      <c r="AM87" s="2557"/>
      <c r="AN87" s="1344"/>
      <c r="AO87" s="335"/>
      <c r="AP87" s="335"/>
      <c r="AQ87" s="335"/>
      <c r="AR87" s="335"/>
      <c r="AS87" s="335"/>
      <c r="AT87" s="335"/>
      <c r="AU87" s="335"/>
      <c r="AV87" s="335"/>
      <c r="AW87" s="335"/>
      <c r="AX87" s="335"/>
      <c r="AY87" s="335"/>
      <c r="AZ87" s="335"/>
      <c r="BA87" s="335"/>
      <c r="BB87" s="335"/>
      <c r="BC87" s="335"/>
    </row>
    <row r="88" spans="1:55" s="336" customFormat="1" ht="3" customHeight="1">
      <c r="A88" s="334"/>
      <c r="B88" s="1311"/>
      <c r="C88" s="1316"/>
      <c r="D88" s="1317"/>
      <c r="E88" s="1317"/>
      <c r="F88" s="1317"/>
      <c r="G88" s="1317"/>
      <c r="H88" s="1317"/>
      <c r="I88" s="1317"/>
      <c r="J88" s="1317"/>
      <c r="K88" s="1318"/>
      <c r="L88" s="1425"/>
      <c r="M88" s="1425"/>
      <c r="N88" s="1425"/>
      <c r="O88" s="1425"/>
      <c r="P88" s="1425"/>
      <c r="Q88" s="1425"/>
      <c r="R88" s="1425"/>
      <c r="S88" s="1425"/>
      <c r="T88" s="1316"/>
      <c r="U88" s="1317"/>
      <c r="V88" s="1317"/>
      <c r="W88" s="1318"/>
      <c r="X88" s="1345"/>
      <c r="Y88" s="1346"/>
      <c r="Z88" s="1345"/>
      <c r="AA88" s="1345"/>
      <c r="AB88" s="1426"/>
      <c r="AC88" s="1345"/>
      <c r="AD88" s="1346"/>
      <c r="AE88" s="1345"/>
      <c r="AF88" s="1348"/>
      <c r="AG88" s="2568">
        <f>'1770 S-1 JP'!AG89</f>
        <v>0</v>
      </c>
      <c r="AH88" s="2569"/>
      <c r="AI88" s="2569"/>
      <c r="AJ88" s="2569"/>
      <c r="AK88" s="2569"/>
      <c r="AL88" s="2569"/>
      <c r="AM88" s="2569"/>
      <c r="AN88" s="1348"/>
      <c r="AO88" s="335"/>
      <c r="AP88" s="335"/>
      <c r="AQ88" s="335"/>
      <c r="AR88" s="335"/>
      <c r="AS88" s="335"/>
      <c r="AT88" s="335"/>
      <c r="AU88" s="335"/>
      <c r="AV88" s="335"/>
      <c r="AW88" s="335"/>
      <c r="AX88" s="335"/>
      <c r="AY88" s="335"/>
      <c r="AZ88" s="335"/>
      <c r="BA88" s="335"/>
      <c r="BB88" s="335"/>
      <c r="BC88" s="335"/>
    </row>
    <row r="89" spans="1:55" s="336" customFormat="1" ht="18.75" customHeight="1">
      <c r="A89" s="334"/>
      <c r="B89" s="338" t="s">
        <v>389</v>
      </c>
      <c r="C89" s="2558" t="s">
        <v>30</v>
      </c>
      <c r="D89" s="2559"/>
      <c r="E89" s="2559"/>
      <c r="F89" s="2559"/>
      <c r="G89" s="2559"/>
      <c r="H89" s="2559"/>
      <c r="I89" s="2559"/>
      <c r="J89" s="2559"/>
      <c r="K89" s="2560"/>
      <c r="L89" s="2579" t="s">
        <v>30</v>
      </c>
      <c r="M89" s="337"/>
      <c r="N89" s="337"/>
      <c r="O89" s="337"/>
      <c r="P89" s="337"/>
      <c r="Q89" s="337"/>
      <c r="R89" s="337"/>
      <c r="S89" s="2580"/>
      <c r="T89" s="294" t="s">
        <v>30</v>
      </c>
      <c r="U89" s="295"/>
      <c r="V89" s="295"/>
      <c r="W89" s="296"/>
      <c r="X89" s="1940" t="s">
        <v>30</v>
      </c>
      <c r="Y89" s="1941"/>
      <c r="Z89" s="1941"/>
      <c r="AA89" s="1942"/>
      <c r="AB89" s="294" t="s">
        <v>30</v>
      </c>
      <c r="AC89" s="295"/>
      <c r="AD89" s="295"/>
      <c r="AE89" s="295"/>
      <c r="AF89" s="296"/>
      <c r="AG89" s="2570"/>
      <c r="AH89" s="2571"/>
      <c r="AI89" s="2571"/>
      <c r="AJ89" s="2571"/>
      <c r="AK89" s="2571"/>
      <c r="AL89" s="2571"/>
      <c r="AM89" s="2571"/>
      <c r="AN89" s="333"/>
      <c r="AO89" s="335"/>
      <c r="AP89" s="335"/>
      <c r="AQ89" s="335"/>
      <c r="AR89" s="335"/>
      <c r="AS89" s="335"/>
      <c r="AT89" s="335"/>
      <c r="AU89" s="335"/>
      <c r="AV89" s="335"/>
      <c r="AW89" s="335"/>
      <c r="AX89" s="335"/>
      <c r="AY89" s="335"/>
      <c r="AZ89" s="335"/>
      <c r="BA89" s="335"/>
      <c r="BB89" s="335"/>
      <c r="BC89" s="335"/>
    </row>
    <row r="90" spans="1:55" s="336" customFormat="1" ht="18.75" customHeight="1">
      <c r="A90" s="334"/>
      <c r="B90" s="1920"/>
      <c r="C90" s="2556"/>
      <c r="D90" s="2557"/>
      <c r="E90" s="2557"/>
      <c r="F90" s="2557"/>
      <c r="G90" s="2557"/>
      <c r="H90" s="2557"/>
      <c r="I90" s="2557"/>
      <c r="J90" s="2557"/>
      <c r="K90" s="2561"/>
      <c r="L90" s="2581"/>
      <c r="M90" s="2582"/>
      <c r="N90" s="2582"/>
      <c r="O90" s="2582"/>
      <c r="P90" s="2582"/>
      <c r="Q90" s="2582"/>
      <c r="R90" s="2582"/>
      <c r="S90" s="2583"/>
      <c r="T90" s="2551"/>
      <c r="U90" s="2552"/>
      <c r="V90" s="2552"/>
      <c r="W90" s="2553"/>
      <c r="X90" s="1932"/>
      <c r="Y90" s="1933"/>
      <c r="Z90" s="1933"/>
      <c r="AA90" s="1934"/>
      <c r="AB90" s="2551"/>
      <c r="AC90" s="2552"/>
      <c r="AD90" s="2552"/>
      <c r="AE90" s="2552"/>
      <c r="AF90" s="2553"/>
      <c r="AG90" s="2572"/>
      <c r="AH90" s="2573"/>
      <c r="AI90" s="2573"/>
      <c r="AJ90" s="2573"/>
      <c r="AK90" s="2573"/>
      <c r="AL90" s="2573"/>
      <c r="AM90" s="2573"/>
      <c r="AN90" s="1344"/>
      <c r="AO90" s="335"/>
      <c r="AP90" s="335"/>
      <c r="AQ90" s="335"/>
      <c r="AR90" s="335"/>
      <c r="AS90" s="335"/>
      <c r="AT90" s="335"/>
      <c r="AU90" s="335"/>
      <c r="AV90" s="335"/>
      <c r="AW90" s="335"/>
      <c r="AX90" s="335"/>
      <c r="AY90" s="335"/>
      <c r="AZ90" s="335"/>
      <c r="BA90" s="335"/>
      <c r="BB90" s="335"/>
      <c r="BC90" s="335"/>
    </row>
    <row r="91" spans="1:40" s="336" customFormat="1" ht="3" customHeight="1">
      <c r="A91" s="334"/>
      <c r="B91" s="328"/>
      <c r="C91" s="294"/>
      <c r="D91" s="295"/>
      <c r="E91" s="295"/>
      <c r="F91" s="295"/>
      <c r="G91" s="295"/>
      <c r="H91" s="295"/>
      <c r="I91" s="295"/>
      <c r="J91" s="295"/>
      <c r="K91" s="296"/>
      <c r="L91" s="337"/>
      <c r="M91" s="337"/>
      <c r="N91" s="337"/>
      <c r="O91" s="337"/>
      <c r="P91" s="337"/>
      <c r="Q91" s="337"/>
      <c r="R91" s="337"/>
      <c r="S91" s="337"/>
      <c r="T91" s="294"/>
      <c r="U91" s="295"/>
      <c r="V91" s="295"/>
      <c r="W91" s="296"/>
      <c r="X91" s="329"/>
      <c r="Y91" s="330"/>
      <c r="Z91" s="329"/>
      <c r="AA91" s="329"/>
      <c r="AB91" s="294"/>
      <c r="AC91" s="295"/>
      <c r="AD91" s="330"/>
      <c r="AE91" s="295"/>
      <c r="AF91" s="296"/>
      <c r="AG91" s="329"/>
      <c r="AH91" s="329"/>
      <c r="AI91" s="329"/>
      <c r="AJ91" s="329"/>
      <c r="AK91" s="329"/>
      <c r="AL91" s="329"/>
      <c r="AM91" s="329"/>
      <c r="AN91" s="332"/>
    </row>
    <row r="92" spans="1:41" s="336" customFormat="1" ht="18.75" customHeight="1">
      <c r="A92" s="334"/>
      <c r="B92" s="338" t="s">
        <v>390</v>
      </c>
      <c r="C92" s="2558" t="s">
        <v>30</v>
      </c>
      <c r="D92" s="2559"/>
      <c r="E92" s="2559"/>
      <c r="F92" s="2559"/>
      <c r="G92" s="2559"/>
      <c r="H92" s="2559"/>
      <c r="I92" s="2559"/>
      <c r="J92" s="2559"/>
      <c r="K92" s="2560"/>
      <c r="L92" s="2579" t="s">
        <v>30</v>
      </c>
      <c r="M92" s="337"/>
      <c r="N92" s="337"/>
      <c r="O92" s="337"/>
      <c r="P92" s="337"/>
      <c r="Q92" s="337"/>
      <c r="R92" s="337"/>
      <c r="S92" s="2580"/>
      <c r="T92" s="294" t="s">
        <v>30</v>
      </c>
      <c r="U92" s="295"/>
      <c r="V92" s="295"/>
      <c r="W92" s="296"/>
      <c r="X92" s="1940" t="s">
        <v>30</v>
      </c>
      <c r="Y92" s="1941"/>
      <c r="Z92" s="1941"/>
      <c r="AA92" s="1942"/>
      <c r="AB92" s="294" t="s">
        <v>30</v>
      </c>
      <c r="AC92" s="295"/>
      <c r="AD92" s="295"/>
      <c r="AE92" s="295"/>
      <c r="AF92" s="296"/>
      <c r="AG92" s="2558">
        <f>'1770 S-1 JP'!AG92</f>
        <v>0</v>
      </c>
      <c r="AH92" s="2559"/>
      <c r="AI92" s="2559"/>
      <c r="AJ92" s="2559"/>
      <c r="AK92" s="2559"/>
      <c r="AL92" s="2559"/>
      <c r="AM92" s="2559"/>
      <c r="AN92" s="333"/>
      <c r="AO92" s="334"/>
    </row>
    <row r="93" spans="1:41" s="336" customFormat="1" ht="18.75" customHeight="1">
      <c r="A93" s="334"/>
      <c r="B93" s="339" t="s">
        <v>129</v>
      </c>
      <c r="C93" s="2574"/>
      <c r="D93" s="2575"/>
      <c r="E93" s="2575"/>
      <c r="F93" s="2575"/>
      <c r="G93" s="2575"/>
      <c r="H93" s="2575"/>
      <c r="I93" s="2575"/>
      <c r="J93" s="2575"/>
      <c r="K93" s="2584"/>
      <c r="L93" s="2585"/>
      <c r="M93" s="2586"/>
      <c r="N93" s="2586"/>
      <c r="O93" s="2586"/>
      <c r="P93" s="2586"/>
      <c r="Q93" s="2586"/>
      <c r="R93" s="2586"/>
      <c r="S93" s="2587"/>
      <c r="T93" s="2576"/>
      <c r="U93" s="2577"/>
      <c r="V93" s="2577"/>
      <c r="W93" s="2578"/>
      <c r="X93" s="2588"/>
      <c r="Y93" s="2589"/>
      <c r="Z93" s="2589"/>
      <c r="AA93" s="2590"/>
      <c r="AB93" s="2576"/>
      <c r="AC93" s="2577"/>
      <c r="AD93" s="2577"/>
      <c r="AE93" s="2577"/>
      <c r="AF93" s="2578"/>
      <c r="AG93" s="2574"/>
      <c r="AH93" s="2575"/>
      <c r="AI93" s="2575"/>
      <c r="AJ93" s="2575"/>
      <c r="AK93" s="2575"/>
      <c r="AL93" s="2575"/>
      <c r="AM93" s="2575"/>
      <c r="AN93" s="327"/>
      <c r="AO93" s="334"/>
    </row>
    <row r="94" spans="1:41" ht="3" customHeight="1">
      <c r="A94" s="4"/>
      <c r="B94" s="146"/>
      <c r="C94" s="142" t="s">
        <v>120</v>
      </c>
      <c r="D94" s="1307"/>
      <c r="E94" s="1307"/>
      <c r="F94" s="1307"/>
      <c r="G94" s="1307"/>
      <c r="H94" s="1307"/>
      <c r="I94" s="1307"/>
      <c r="J94" s="1307"/>
      <c r="K94" s="1307"/>
      <c r="L94" s="1307"/>
      <c r="M94" s="1307"/>
      <c r="N94" s="1307"/>
      <c r="O94" s="1307"/>
      <c r="P94" s="1307"/>
      <c r="Q94" s="1307"/>
      <c r="R94" s="1307"/>
      <c r="S94" s="1307"/>
      <c r="T94" s="1307"/>
      <c r="U94" s="1307"/>
      <c r="V94" s="1307"/>
      <c r="W94" s="1307"/>
      <c r="X94" s="1307"/>
      <c r="Y94" s="1307"/>
      <c r="Z94" s="1307"/>
      <c r="AA94" s="1895"/>
      <c r="AB94" s="169"/>
      <c r="AC94" s="170"/>
      <c r="AD94" s="170"/>
      <c r="AE94" s="142" t="s">
        <v>119</v>
      </c>
      <c r="AF94" s="1895"/>
      <c r="AG94" s="264"/>
      <c r="AH94" s="264"/>
      <c r="AI94" s="264"/>
      <c r="AJ94" s="265"/>
      <c r="AK94" s="265"/>
      <c r="AL94" s="265"/>
      <c r="AM94" s="265"/>
      <c r="AN94" s="276"/>
      <c r="AO94" s="4"/>
    </row>
    <row r="95" spans="1:41" ht="15" customHeight="1">
      <c r="A95" s="4"/>
      <c r="B95" s="141"/>
      <c r="C95" s="141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67"/>
      <c r="Q95" s="67"/>
      <c r="R95" s="67"/>
      <c r="S95" s="67"/>
      <c r="T95" s="67"/>
      <c r="U95" s="67"/>
      <c r="V95" s="67"/>
      <c r="W95" s="67"/>
      <c r="X95" s="67"/>
      <c r="Y95" s="67"/>
      <c r="Z95" s="67"/>
      <c r="AA95" s="297"/>
      <c r="AB95" s="158"/>
      <c r="AC95" s="99"/>
      <c r="AD95" s="99"/>
      <c r="AE95" s="141"/>
      <c r="AF95" s="297"/>
      <c r="AG95" s="376">
        <f>SUM(AG80:AM93)</f>
        <v>0</v>
      </c>
      <c r="AH95" s="246"/>
      <c r="AI95" s="246"/>
      <c r="AJ95" s="246"/>
      <c r="AK95" s="246"/>
      <c r="AL95" s="246"/>
      <c r="AM95" s="246"/>
      <c r="AN95" s="258"/>
      <c r="AO95" s="4"/>
    </row>
    <row r="96" spans="1:41" ht="15" customHeight="1">
      <c r="A96" s="4"/>
      <c r="B96" s="143"/>
      <c r="C96" s="141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67"/>
      <c r="Q96" s="67"/>
      <c r="R96" s="67"/>
      <c r="S96" s="67"/>
      <c r="T96" s="67"/>
      <c r="U96" s="67"/>
      <c r="V96" s="67"/>
      <c r="W96" s="67"/>
      <c r="X96" s="67"/>
      <c r="Y96" s="67"/>
      <c r="Z96" s="67"/>
      <c r="AA96" s="297"/>
      <c r="AB96" s="158"/>
      <c r="AC96" s="99"/>
      <c r="AD96" s="99"/>
      <c r="AE96" s="141"/>
      <c r="AF96" s="297"/>
      <c r="AG96" s="376"/>
      <c r="AH96" s="246"/>
      <c r="AI96" s="246"/>
      <c r="AJ96" s="246"/>
      <c r="AK96" s="246"/>
      <c r="AL96" s="246"/>
      <c r="AM96" s="246"/>
      <c r="AN96" s="258"/>
      <c r="AO96" s="4"/>
    </row>
    <row r="97" spans="1:41" customFormat="1" ht="3" customHeight="1">
      <c r="A97" s="4"/>
      <c r="B97" s="155"/>
      <c r="C97" s="1293"/>
      <c r="D97" s="1901"/>
      <c r="E97" s="1901"/>
      <c r="F97" s="1901"/>
      <c r="G97" s="1901"/>
      <c r="H97" s="1901"/>
      <c r="I97" s="1901"/>
      <c r="J97" s="1901"/>
      <c r="K97" s="1901"/>
      <c r="L97" s="1901"/>
      <c r="M97" s="1901"/>
      <c r="N97" s="1901"/>
      <c r="O97" s="1901"/>
      <c r="P97" s="1901"/>
      <c r="Q97" s="1901"/>
      <c r="R97" s="1901"/>
      <c r="S97" s="1901"/>
      <c r="T97" s="1901"/>
      <c r="U97" s="1901"/>
      <c r="V97" s="1901"/>
      <c r="W97" s="1901"/>
      <c r="X97" s="1901"/>
      <c r="Y97" s="1901"/>
      <c r="Z97" s="1901"/>
      <c r="AA97" s="1896"/>
      <c r="AB97" s="159"/>
      <c r="AC97" s="156"/>
      <c r="AD97" s="156"/>
      <c r="AE97" s="1293"/>
      <c r="AF97" s="1896"/>
      <c r="AG97" s="277"/>
      <c r="AH97" s="277"/>
      <c r="AI97" s="277"/>
      <c r="AJ97" s="108"/>
      <c r="AK97" s="108"/>
      <c r="AL97" s="108"/>
      <c r="AM97" s="108"/>
      <c r="AN97" s="278"/>
      <c r="AO97" s="4"/>
    </row>
    <row r="98" spans="1:41" customFormat="1" ht="11.25" customHeight="1">
      <c r="A98" s="4"/>
      <c r="B98" s="15"/>
      <c r="C98" s="252"/>
      <c r="D98" s="252"/>
      <c r="E98" s="252"/>
      <c r="F98" s="252"/>
      <c r="G98" s="252"/>
      <c r="H98" s="252"/>
      <c r="I98" s="252"/>
      <c r="J98" s="252"/>
      <c r="K98" s="252"/>
      <c r="L98" s="252"/>
      <c r="M98" s="252"/>
      <c r="N98" s="252"/>
      <c r="O98" s="252"/>
      <c r="P98" s="252"/>
      <c r="Q98" s="252"/>
      <c r="R98" s="252"/>
      <c r="S98" s="252"/>
      <c r="T98" s="252"/>
      <c r="U98" s="252"/>
      <c r="V98" s="252"/>
      <c r="W98" s="252"/>
      <c r="X98" s="252"/>
      <c r="Y98" s="252"/>
      <c r="Z98" s="252"/>
      <c r="AA98" s="252"/>
      <c r="AB98" s="66"/>
      <c r="AC98" s="66"/>
      <c r="AD98" s="66"/>
      <c r="AE98" s="252"/>
      <c r="AF98" s="252"/>
      <c r="AG98" s="4" t="s">
        <v>140</v>
      </c>
      <c r="AH98" s="6"/>
      <c r="AI98" s="68"/>
      <c r="AJ98" s="44"/>
      <c r="AK98" s="44"/>
      <c r="AL98" s="44"/>
      <c r="AM98" s="44"/>
      <c r="AN98" s="44"/>
      <c r="AO98" s="4"/>
    </row>
    <row r="99" spans="1:41" customFormat="1" ht="14.25" customHeight="1">
      <c r="A99" s="4"/>
      <c r="B99" s="15"/>
      <c r="C99" s="252"/>
      <c r="D99" s="252"/>
      <c r="E99" s="252"/>
      <c r="F99" s="252"/>
      <c r="G99" s="252"/>
      <c r="H99" s="252"/>
      <c r="I99" s="252"/>
      <c r="J99" s="252"/>
      <c r="K99" s="252"/>
      <c r="L99" s="252"/>
      <c r="M99" s="252"/>
      <c r="N99" s="252"/>
      <c r="O99" s="252"/>
      <c r="P99" s="252"/>
      <c r="Q99" s="252"/>
      <c r="R99" s="252"/>
      <c r="S99" s="252"/>
      <c r="T99" s="252"/>
      <c r="U99" s="252"/>
      <c r="V99" s="252"/>
      <c r="W99" s="252"/>
      <c r="X99" s="252"/>
      <c r="Y99" s="252"/>
      <c r="Z99" s="252"/>
      <c r="AA99" s="252"/>
      <c r="AB99" s="66"/>
      <c r="AC99" s="66"/>
      <c r="AD99" s="66"/>
      <c r="AE99" s="252"/>
      <c r="AF99" s="252"/>
      <c r="AG99" s="4" t="s">
        <v>427</v>
      </c>
      <c r="AH99" s="5"/>
      <c r="AI99" s="68"/>
      <c r="AJ99" s="44"/>
      <c r="AK99" s="44"/>
      <c r="AL99" s="44"/>
      <c r="AM99" s="44"/>
      <c r="AN99" s="44"/>
      <c r="AO99" s="4"/>
    </row>
    <row r="100" spans="1:41" customFormat="1" ht="14.25" customHeight="1">
      <c r="A100" s="4"/>
      <c r="B100" s="15"/>
      <c r="C100" s="252"/>
      <c r="D100" s="252"/>
      <c r="E100" s="252"/>
      <c r="F100" s="252"/>
      <c r="G100" s="252"/>
      <c r="H100" s="252"/>
      <c r="I100" s="252"/>
      <c r="J100" s="252"/>
      <c r="K100" s="252"/>
      <c r="L100" s="252"/>
      <c r="M100" s="252"/>
      <c r="N100" s="252"/>
      <c r="O100" s="252"/>
      <c r="P100" s="252"/>
      <c r="Q100" s="252"/>
      <c r="R100" s="252"/>
      <c r="S100" s="252"/>
      <c r="T100" s="252"/>
      <c r="U100" s="252"/>
      <c r="V100" s="252"/>
      <c r="W100" s="252"/>
      <c r="X100" s="252"/>
      <c r="Y100" s="252"/>
      <c r="Z100" s="252"/>
      <c r="AA100" s="252"/>
      <c r="AB100" s="66"/>
      <c r="AC100" s="66"/>
      <c r="AD100" s="66"/>
      <c r="AE100" s="252"/>
      <c r="AF100" s="252"/>
      <c r="AG100" s="4"/>
      <c r="AH100" s="5"/>
      <c r="AI100" s="68"/>
      <c r="AJ100" s="44"/>
      <c r="AK100" s="44"/>
      <c r="AL100" s="44"/>
      <c r="AM100" s="44"/>
      <c r="AN100" s="44"/>
      <c r="AO100" s="4"/>
    </row>
    <row r="101" spans="1:41" ht="14.25" customHeight="1">
      <c r="A101" s="4"/>
      <c r="B101" s="4" t="s">
        <v>60</v>
      </c>
      <c r="C101" s="4"/>
      <c r="D101" s="4"/>
      <c r="E101" s="4"/>
      <c r="F101" s="4"/>
      <c r="G101" s="4"/>
      <c r="H101" s="4"/>
      <c r="I101" s="4"/>
      <c r="J101" s="4"/>
      <c r="K101" s="4"/>
      <c r="L101" s="41"/>
      <c r="M101" s="4"/>
      <c r="N101" s="54"/>
      <c r="O101" s="54"/>
      <c r="P101" s="54"/>
      <c r="Q101" s="54"/>
      <c r="R101" s="54"/>
      <c r="S101" s="54"/>
      <c r="T101" s="54"/>
      <c r="U101" s="16"/>
      <c r="V101" s="16"/>
      <c r="W101" s="16"/>
      <c r="X101" s="16"/>
      <c r="Y101" s="16"/>
      <c r="Z101" s="16"/>
      <c r="AA101" s="16"/>
      <c r="AB101" s="16"/>
      <c r="AC101" s="16"/>
      <c r="AI101" s="6"/>
      <c r="AJ101" s="6"/>
      <c r="AK101" s="6"/>
      <c r="AL101" s="6"/>
      <c r="AN101" s="6"/>
      <c r="AO101" s="4"/>
    </row>
    <row r="102" spans="1:41" ht="12.75" customHeight="1">
      <c r="A102" s="4"/>
      <c r="B102" s="4" t="s">
        <v>62</v>
      </c>
      <c r="C102" s="62" t="s">
        <v>83</v>
      </c>
      <c r="D102" s="62"/>
      <c r="E102" s="4"/>
      <c r="F102" s="4"/>
      <c r="G102" s="4"/>
      <c r="H102" s="4"/>
      <c r="I102" s="4"/>
      <c r="J102" s="4"/>
      <c r="K102" s="4"/>
      <c r="L102" s="41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E102" s="5"/>
      <c r="AI102" s="5"/>
      <c r="AJ102" s="5"/>
      <c r="AK102" s="5"/>
      <c r="AL102" s="5"/>
      <c r="AN102" s="5"/>
      <c r="AO102" s="4"/>
    </row>
    <row r="103" spans="1:40" ht="12" customHeight="1">
      <c r="A103" s="4"/>
      <c r="C103" s="62" t="s">
        <v>160</v>
      </c>
      <c r="D103" s="62"/>
      <c r="E103" s="4"/>
      <c r="F103" s="4"/>
      <c r="G103" s="4"/>
      <c r="H103" s="4"/>
      <c r="I103" s="4"/>
      <c r="J103" s="4"/>
      <c r="K103" s="4"/>
      <c r="L103" s="41"/>
      <c r="M103" s="4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N103" s="4"/>
    </row>
    <row r="104" spans="3:40" ht="15" customHeight="1">
      <c r="C104" s="114" t="s">
        <v>143</v>
      </c>
      <c r="D104" s="88"/>
      <c r="E104" s="88"/>
      <c r="F104" s="88"/>
      <c r="G104" s="88"/>
      <c r="H104" s="88"/>
      <c r="I104" s="88"/>
      <c r="J104" s="88"/>
      <c r="K104" s="88"/>
      <c r="L104" s="113"/>
      <c r="M104" s="88"/>
      <c r="N104" s="44"/>
      <c r="O104" s="44"/>
      <c r="P104" s="44"/>
      <c r="Q104" s="44"/>
      <c r="R104" s="44"/>
      <c r="S104" s="44"/>
      <c r="T104" s="44"/>
      <c r="U104" s="44"/>
      <c r="V104" s="44"/>
      <c r="W104" s="88"/>
      <c r="X104" s="88"/>
      <c r="Y104" s="88"/>
      <c r="Z104" s="88"/>
      <c r="AA104" s="88"/>
      <c r="AB104" s="88"/>
      <c r="AC104" s="88"/>
      <c r="AD104" s="88"/>
      <c r="AE104" s="88"/>
      <c r="AN104" s="68"/>
    </row>
    <row r="105" spans="3:3" ht="15" customHeight="1">
      <c r="C105" s="62" t="s">
        <v>167</v>
      </c>
    </row>
    <row r="106" spans="3:3" ht="15" customHeight="1">
      <c r="C106" s="62"/>
    </row>
    <row r="107" spans="3:3" ht="15" customHeight="1" thickBot="1">
      <c r="C107" s="62"/>
    </row>
    <row r="108" spans="2:40" ht="16.5" customHeight="1" thickBot="1">
      <c r="B108" s="193" t="s">
        <v>137</v>
      </c>
      <c r="C108" s="194"/>
      <c r="D108" s="194"/>
      <c r="E108" s="194"/>
      <c r="F108" s="194"/>
      <c r="G108" s="194"/>
      <c r="H108" s="194"/>
      <c r="I108" s="194"/>
      <c r="J108" s="194"/>
      <c r="K108" s="194"/>
      <c r="L108" s="194"/>
      <c r="M108" s="194"/>
      <c r="N108" s="194"/>
      <c r="O108" s="194"/>
      <c r="P108" s="194"/>
      <c r="Q108" s="194"/>
      <c r="R108" s="194"/>
      <c r="S108" s="194"/>
      <c r="T108" s="195"/>
      <c r="U108" s="194"/>
      <c r="V108" s="290"/>
      <c r="W108" s="290"/>
      <c r="X108" s="291"/>
      <c r="AD108" s="62" t="s">
        <v>141</v>
      </c>
      <c r="AE108" s="62"/>
      <c r="AF108" s="62"/>
      <c r="AG108" s="1350">
        <v>1</v>
      </c>
      <c r="AH108" s="58" t="s">
        <v>142</v>
      </c>
      <c r="AI108" s="1350">
        <v>1</v>
      </c>
      <c r="AJ108" s="62" t="s">
        <v>168</v>
      </c>
      <c r="AK108" s="11"/>
      <c r="AL108" s="11"/>
      <c r="AM108" s="11"/>
      <c r="AN108" s="11"/>
    </row>
    <row r="109" spans="2:40" ht="16.5" customHeight="1">
      <c r="B109" s="191"/>
      <c r="C109" s="191"/>
      <c r="D109" s="191"/>
      <c r="E109" s="191"/>
      <c r="F109" s="191"/>
      <c r="G109" s="191"/>
      <c r="H109" s="191"/>
      <c r="I109" s="191"/>
      <c r="J109" s="191"/>
      <c r="K109" s="191"/>
      <c r="L109" s="191"/>
      <c r="M109" s="191"/>
      <c r="N109" s="191"/>
      <c r="O109" s="191"/>
      <c r="P109" s="191"/>
      <c r="Q109" s="191"/>
      <c r="R109" s="191"/>
      <c r="S109" s="191"/>
      <c r="T109" s="191"/>
      <c r="U109" s="191"/>
      <c r="AD109" s="62"/>
      <c r="AE109" s="62"/>
      <c r="AF109" s="62"/>
      <c r="AG109" s="62"/>
      <c r="AH109" s="58"/>
      <c r="AI109" s="62"/>
      <c r="AJ109" s="62"/>
      <c r="AK109" s="11"/>
      <c r="AL109" s="11"/>
      <c r="AM109" s="11"/>
      <c r="AN109" s="11"/>
    </row>
    <row r="110" spans="2:40" ht="16.5" customHeight="1">
      <c r="B110" s="191"/>
      <c r="C110" s="191"/>
      <c r="D110" s="191"/>
      <c r="E110" s="191"/>
      <c r="F110" s="191"/>
      <c r="G110" s="191"/>
      <c r="H110" s="191"/>
      <c r="I110" s="191"/>
      <c r="J110" s="191"/>
      <c r="K110" s="191"/>
      <c r="L110" s="191"/>
      <c r="M110" s="191"/>
      <c r="N110" s="191"/>
      <c r="O110" s="191"/>
      <c r="P110" s="191"/>
      <c r="Q110" s="191"/>
      <c r="R110" s="191"/>
      <c r="S110" s="191"/>
      <c r="T110" s="191"/>
      <c r="U110" s="191"/>
      <c r="AD110" s="62"/>
      <c r="AE110" s="62"/>
      <c r="AF110" s="62"/>
      <c r="AG110" s="62"/>
      <c r="AH110" s="58"/>
      <c r="AI110" s="62"/>
      <c r="AJ110" s="62"/>
      <c r="AK110" s="11"/>
      <c r="AL110" s="11"/>
      <c r="AM110" s="11"/>
      <c r="AN110" s="11"/>
    </row>
    <row r="111" spans="2:40" ht="16.5" customHeight="1">
      <c r="B111" s="191"/>
      <c r="C111" s="191"/>
      <c r="D111" s="191"/>
      <c r="E111" s="191"/>
      <c r="F111" s="191"/>
      <c r="G111" s="191"/>
      <c r="H111" s="191"/>
      <c r="I111" s="191"/>
      <c r="J111" s="191"/>
      <c r="K111" s="191"/>
      <c r="L111" s="191"/>
      <c r="M111" s="191"/>
      <c r="N111" s="191"/>
      <c r="O111" s="191"/>
      <c r="P111" s="191"/>
      <c r="Q111" s="191"/>
      <c r="R111" s="191"/>
      <c r="S111" s="191"/>
      <c r="T111" s="191"/>
      <c r="U111" s="191"/>
      <c r="AD111" s="62"/>
      <c r="AE111" s="62"/>
      <c r="AF111" s="62"/>
      <c r="AG111" s="62"/>
      <c r="AH111" s="58"/>
      <c r="AI111" s="62"/>
      <c r="AJ111" s="62"/>
      <c r="AK111" s="11"/>
      <c r="AL111" s="11"/>
      <c r="AM111" s="11"/>
      <c r="AN111" s="11"/>
    </row>
    <row r="112" spans="1:41" customHeight="1">
      <c r="A112" s="1"/>
      <c r="B112" s="4"/>
      <c r="C112" s="4"/>
      <c r="D112" s="4"/>
      <c r="AO112" s="1"/>
    </row>
    <row r="115" spans="17:26" customHeight="1"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5:26" customHeight="1">
      <c r="E116" s="107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2:26" customHeight="1">
      <c r="B117" s="6"/>
      <c r="C117" s="6"/>
      <c r="E117" s="107"/>
      <c r="F117" s="6"/>
      <c r="G117" s="6"/>
      <c r="H117" s="6"/>
      <c r="I117" s="6"/>
      <c r="J117" s="6"/>
      <c r="K117" s="6"/>
      <c r="L117" s="8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9" spans="2:26" customHeight="1"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8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</sheetData>
  <sheetProtection password="BDAF" sheet="1" objects="1" scenarios="1" selectLockedCells="1" selectUnlockedCells="1"/>
  <mergeCells count="132">
    <mergeCell ref="AB86:AF87"/>
    <mergeCell ref="L83:S84"/>
    <mergeCell ref="C86:K87"/>
    <mergeCell ref="L86:S87"/>
    <mergeCell ref="T86:W87"/>
    <mergeCell ref="X86:AA87"/>
    <mergeCell ref="T83:W84"/>
    <mergeCell ref="X83:AA84"/>
    <mergeCell ref="AB83:AF84"/>
    <mergeCell ref="X92:AA93"/>
    <mergeCell ref="C30:AA31"/>
    <mergeCell ref="C32:AA34"/>
    <mergeCell ref="B62:B63"/>
    <mergeCell ref="C62:AA63"/>
    <mergeCell ref="Z38:AA40"/>
    <mergeCell ref="P36:AA37"/>
    <mergeCell ref="C36:H37"/>
    <mergeCell ref="C39:Y40"/>
    <mergeCell ref="L50:AA51"/>
    <mergeCell ref="C59:AA60"/>
    <mergeCell ref="B80:B81"/>
    <mergeCell ref="B83:B84"/>
    <mergeCell ref="B86:B87"/>
    <mergeCell ref="B89:B90"/>
    <mergeCell ref="C46:AA47"/>
    <mergeCell ref="C53:E54"/>
    <mergeCell ref="F53:AA54"/>
    <mergeCell ref="C50:K51"/>
    <mergeCell ref="T80:W81"/>
    <mergeCell ref="X80:AA81"/>
    <mergeCell ref="L80:S81"/>
    <mergeCell ref="AB80:AF81"/>
    <mergeCell ref="AG75:AN75"/>
    <mergeCell ref="AG79:AN79"/>
    <mergeCell ref="AB79:AF79"/>
    <mergeCell ref="AG80:AM81"/>
    <mergeCell ref="AG83:AM84"/>
    <mergeCell ref="C94:AA97"/>
    <mergeCell ref="C83:K84"/>
    <mergeCell ref="C80:K81"/>
    <mergeCell ref="AG95:AM96"/>
    <mergeCell ref="AG86:AM87"/>
    <mergeCell ref="AG88:AM90"/>
    <mergeCell ref="AG92:AM93"/>
    <mergeCell ref="AE94:AF97"/>
    <mergeCell ref="AB75:AF75"/>
    <mergeCell ref="AB89:AF90"/>
    <mergeCell ref="AB92:AF93"/>
    <mergeCell ref="C89:K90"/>
    <mergeCell ref="L89:S90"/>
    <mergeCell ref="T89:W90"/>
    <mergeCell ref="X89:AA90"/>
    <mergeCell ref="C92:K93"/>
    <mergeCell ref="L92:S93"/>
    <mergeCell ref="T92:W93"/>
    <mergeCell ref="AG76:AN77"/>
    <mergeCell ref="AB76:AF76"/>
    <mergeCell ref="C79:K79"/>
    <mergeCell ref="L79:S79"/>
    <mergeCell ref="X77:AA77"/>
    <mergeCell ref="T78:W79"/>
    <mergeCell ref="X78:AA79"/>
    <mergeCell ref="T77:W77"/>
    <mergeCell ref="C64:AA65"/>
    <mergeCell ref="T75:AA75"/>
    <mergeCell ref="T76:AA76"/>
    <mergeCell ref="L76:S77"/>
    <mergeCell ref="C76:K77"/>
    <mergeCell ref="L75:S75"/>
    <mergeCell ref="C67:Y68"/>
    <mergeCell ref="Z66:AA68"/>
    <mergeCell ref="AB77:AF77"/>
    <mergeCell ref="AB69:AN69"/>
    <mergeCell ref="C75:K75"/>
    <mergeCell ref="AB20:AN20"/>
    <mergeCell ref="AB18:AN18"/>
    <mergeCell ref="AD2:AE7"/>
    <mergeCell ref="M3:AC3"/>
    <mergeCell ref="AB19:AN19"/>
    <mergeCell ref="M2:AC2"/>
    <mergeCell ref="AF3:AG4"/>
    <mergeCell ref="AH3:AI4"/>
    <mergeCell ref="AJ3:AK4"/>
    <mergeCell ref="AL3:AM4"/>
    <mergeCell ref="B2:B7"/>
    <mergeCell ref="D2:K4"/>
    <mergeCell ref="C6:L6"/>
    <mergeCell ref="C21:D22"/>
    <mergeCell ref="B18:B19"/>
    <mergeCell ref="C5:L5"/>
    <mergeCell ref="C20:AA20"/>
    <mergeCell ref="B21:B22"/>
    <mergeCell ref="C18:AA19"/>
    <mergeCell ref="E21:AA22"/>
    <mergeCell ref="AB21:AM22"/>
    <mergeCell ref="C48:AA48"/>
    <mergeCell ref="C24:E25"/>
    <mergeCell ref="F24:AA25"/>
    <mergeCell ref="F27:AA28"/>
    <mergeCell ref="C27:E28"/>
    <mergeCell ref="AB66:AM68"/>
    <mergeCell ref="AB24:AM25"/>
    <mergeCell ref="AB27:AM28"/>
    <mergeCell ref="AB30:AM31"/>
    <mergeCell ref="AB58:AM60"/>
    <mergeCell ref="AB50:AM51"/>
    <mergeCell ref="AB52:AM54"/>
    <mergeCell ref="AB55:AM57"/>
    <mergeCell ref="AB33:AM34"/>
    <mergeCell ref="AB36:AM37"/>
    <mergeCell ref="AB47:AN47"/>
    <mergeCell ref="AB46:AN46"/>
    <mergeCell ref="AB38:AM40"/>
    <mergeCell ref="AB64:AM65"/>
    <mergeCell ref="AB42:AN42"/>
    <mergeCell ref="AB61:AM63"/>
    <mergeCell ref="AB48:AN48"/>
    <mergeCell ref="K57:AA57"/>
    <mergeCell ref="B24:B25"/>
    <mergeCell ref="B27:B28"/>
    <mergeCell ref="B75:B77"/>
    <mergeCell ref="B36:B37"/>
    <mergeCell ref="B46:B47"/>
    <mergeCell ref="B64:B65"/>
    <mergeCell ref="B39:B40"/>
    <mergeCell ref="B56:B57"/>
    <mergeCell ref="B30:B31"/>
    <mergeCell ref="B33:B34"/>
    <mergeCell ref="B67:B68"/>
    <mergeCell ref="B59:B60"/>
    <mergeCell ref="B50:B51"/>
    <mergeCell ref="B53:B54"/>
  </mergeCells>
  <printOptions horizontalCentered="1"/>
  <pageMargins left="0.7" right="0.7" top="0.75" bottom="0.75" header="0.3" footer="0.3"/>
  <pageSetup paperSize="5" scale="59" fitToHeight="0" orientation="portrait" r:id="rId1"/>
  <headerFooter alignWithMargins="0">
    <oddHeader>&amp;R&amp;"Arial,Bold"&amp;14C.2.1.&amp;P</oddHeader>
    <oddFooter>&amp;L&amp;8Page &amp;P of &amp;N&amp;R&amp;8Printed on &amp;D,&amp;T</oddFooter>
  </headerFooter>
</worksheet>
</file>

<file path=xl/worksheets/sheet17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00b0f0"/>
    <pageSetUpPr fitToPage="1"/>
  </sheetPr>
  <dimension ref="A1:BC147"/>
  <sheetViews>
    <sheetView showGridLines="0" zoomScaleNormal="75" zoomScaleSheetLayoutView="100" view="pageBreakPreview" workbookViewId="0">
      <selection pane="topLeft" activeCell="C2" sqref="C2"/>
    </sheetView>
  </sheetViews>
  <sheetFormatPr defaultColWidth="3.7109375" customHeight="1" defaultRowHeight="10" baseColWidth="0"/>
  <cols>
    <col min="1" max="1" width="3.7109375" customWidth="1"/>
    <col min="2" max="2" width="5.28125" customWidth="1"/>
    <col min="3" max="4" width="4.56640625" customWidth="1"/>
    <col min="30" max="30" width="3.56640625" customWidth="1"/>
    <col min="31" max="31" width="3.8515625" customWidth="1"/>
    <col min="47" max="47" width="9.7109375" bestFit="1" customWidth="1"/>
  </cols>
  <sheetData>
    <row r="1" spans="1:41" customHeight="1">
      <c r="A1" s="1"/>
      <c r="B1"/>
      <c r="AO1" s="1"/>
    </row>
    <row r="2" spans="1:40" ht="12.75" customHeight="1">
      <c r="A2"/>
      <c r="B2" s="1478" t="s">
        <v>38</v>
      </c>
      <c r="C2" s="1774" t="s">
        <v>85</v>
      </c>
      <c r="D2" s="1774"/>
      <c r="E2" s="1774"/>
      <c r="F2" s="1774"/>
      <c r="G2" s="1774"/>
      <c r="H2" s="1774"/>
      <c r="I2" s="1774"/>
      <c r="J2" s="1956"/>
      <c r="K2" s="1882" t="s">
        <v>149</v>
      </c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1883"/>
      <c r="AE2" s="2518" t="s">
        <v>29</v>
      </c>
      <c r="AF2" s="1478"/>
      <c r="AG2" s="1950">
        <v>2</v>
      </c>
      <c r="AH2" s="1950"/>
      <c r="AI2" s="1950">
        <v>0</v>
      </c>
      <c r="AJ2" s="1950"/>
      <c r="AK2" s="1950">
        <f>'1770 S-1'!AJ3</f>
        <v>0</v>
      </c>
      <c r="AL2" s="1950"/>
      <c r="AM2" s="1950">
        <f>'1770 S-1'!AL3</f>
        <v>0</v>
      </c>
      <c r="AN2" s="1950"/>
    </row>
    <row r="3" spans="2:40" ht="15" customHeight="1">
      <c r="B3" s="1478"/>
      <c r="C3" s="1774"/>
      <c r="D3" s="1774"/>
      <c r="E3" s="1774"/>
      <c r="F3" s="1774"/>
      <c r="G3" s="1774"/>
      <c r="H3" s="1774"/>
      <c r="I3" s="1774"/>
      <c r="J3" s="1956"/>
      <c r="K3" s="2638" t="s">
        <v>55</v>
      </c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  <c r="AA3" s="252"/>
      <c r="AB3" s="252"/>
      <c r="AC3" s="252"/>
      <c r="AD3" s="2639"/>
      <c r="AE3" s="2518"/>
      <c r="AF3" s="1478"/>
      <c r="AG3" s="1950"/>
      <c r="AH3" s="1950"/>
      <c r="AI3" s="1950"/>
      <c r="AJ3" s="1950"/>
      <c r="AK3" s="1950"/>
      <c r="AL3" s="1950"/>
      <c r="AM3" s="1950"/>
      <c r="AN3" s="1950"/>
    </row>
    <row r="4" spans="2:40" ht="3" customHeight="1" thickBot="1">
      <c r="B4" s="1478"/>
      <c r="C4" s="1774"/>
      <c r="D4" s="1774"/>
      <c r="E4" s="1774"/>
      <c r="F4" s="1774"/>
      <c r="G4" s="1774"/>
      <c r="H4" s="1774"/>
      <c r="I4" s="1774"/>
      <c r="J4" s="1956"/>
      <c r="K4" s="313"/>
      <c r="L4" s="314"/>
      <c r="M4" s="314"/>
      <c r="N4" s="314"/>
      <c r="O4" s="314"/>
      <c r="P4" s="314"/>
      <c r="Q4" s="314"/>
      <c r="R4" s="314"/>
      <c r="S4" s="314"/>
      <c r="T4" s="314"/>
      <c r="U4" s="314"/>
      <c r="V4" s="314"/>
      <c r="W4" s="314"/>
      <c r="X4" s="314"/>
      <c r="Y4" s="314"/>
      <c r="Z4" s="314"/>
      <c r="AA4" s="314"/>
      <c r="AB4" s="314"/>
      <c r="AC4" s="314"/>
      <c r="AD4" s="315"/>
      <c r="AE4" s="2518"/>
      <c r="AF4" s="1478"/>
      <c r="AG4" s="202"/>
      <c r="AH4" s="202"/>
      <c r="AI4" s="202"/>
      <c r="AJ4" s="202"/>
      <c r="AK4" s="202"/>
      <c r="AL4" s="202"/>
      <c r="AM4" s="202"/>
      <c r="AN4" s="202"/>
    </row>
    <row r="5" spans="2:40" ht="21.75" customHeight="1">
      <c r="B5" s="1478"/>
      <c r="C5" s="2632" t="s">
        <v>454</v>
      </c>
      <c r="D5" s="2632"/>
      <c r="E5" s="2632"/>
      <c r="F5" s="2632"/>
      <c r="G5" s="2632"/>
      <c r="H5" s="2632"/>
      <c r="I5" s="2632"/>
      <c r="J5" s="2633"/>
      <c r="K5" s="58" t="s">
        <v>23</v>
      </c>
      <c r="L5" s="2634" t="s">
        <v>173</v>
      </c>
      <c r="M5" s="2634"/>
      <c r="N5" s="2634"/>
      <c r="O5" s="2634"/>
      <c r="P5" s="2634"/>
      <c r="Q5" s="2634"/>
      <c r="R5" s="2634"/>
      <c r="S5" s="2634"/>
      <c r="T5" s="2634"/>
      <c r="U5" s="2634"/>
      <c r="V5" s="2634"/>
      <c r="W5" s="2634"/>
      <c r="X5" s="4"/>
      <c r="Y5" s="4"/>
      <c r="Z5" s="4"/>
      <c r="AA5" s="4"/>
      <c r="AB5" s="4"/>
      <c r="AC5" s="4"/>
      <c r="AD5" s="4"/>
      <c r="AE5" s="2518"/>
      <c r="AF5" s="1478"/>
      <c r="AG5" s="202"/>
      <c r="AH5" s="202"/>
      <c r="AI5" s="202"/>
      <c r="AJ5" s="202"/>
      <c r="AK5" s="202"/>
      <c r="AL5" s="202"/>
      <c r="AM5" s="202"/>
      <c r="AN5" s="202"/>
    </row>
    <row r="6" spans="2:40" ht="15" customHeight="1">
      <c r="B6" s="1478"/>
      <c r="C6" s="2632" t="s">
        <v>31</v>
      </c>
      <c r="D6" s="2632"/>
      <c r="E6" s="2632"/>
      <c r="F6" s="2632"/>
      <c r="G6" s="2632"/>
      <c r="H6" s="2632"/>
      <c r="I6" s="2632"/>
      <c r="J6" s="2633"/>
      <c r="K6" s="115" t="s">
        <v>23</v>
      </c>
      <c r="L6" s="44" t="s">
        <v>428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2518"/>
      <c r="AF6" s="1478"/>
      <c r="AG6" s="305"/>
      <c r="AH6" s="305"/>
      <c r="AI6" s="305"/>
      <c r="AJ6" s="305"/>
      <c r="AK6" s="305"/>
      <c r="AL6" s="305"/>
      <c r="AM6" s="305"/>
      <c r="AN6" s="305"/>
    </row>
    <row r="7" spans="2:32" ht="12.75" customHeight="1">
      <c r="B7" s="1478"/>
      <c r="K7" s="115" t="s">
        <v>23</v>
      </c>
      <c r="L7" s="44" t="s">
        <v>429</v>
      </c>
      <c r="M7"/>
      <c r="N7"/>
      <c r="O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518"/>
      <c r="AF7" s="1478"/>
    </row>
    <row r="8" spans="2:40" ht="15" customHeight="1" thickBot="1">
      <c r="B8" s="1955"/>
      <c r="C8" s="25"/>
      <c r="D8" s="25"/>
      <c r="E8" s="25"/>
      <c r="F8" s="25"/>
      <c r="G8" s="25"/>
      <c r="H8" s="25"/>
      <c r="I8" s="25"/>
      <c r="J8" s="77"/>
      <c r="K8" s="115" t="s">
        <v>23</v>
      </c>
      <c r="L8" s="44" t="s">
        <v>430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520"/>
      <c r="AF8" s="1955"/>
      <c r="AG8" s="4"/>
      <c r="AH8"/>
      <c r="AI8" s="25"/>
      <c r="AJ8" s="25"/>
      <c r="AK8" s="25"/>
      <c r="AL8" s="25"/>
      <c r="AM8" s="25"/>
      <c r="AN8"/>
    </row>
    <row r="9" spans="2:40" ht="2.25" customHeight="1">
      <c r="B9" s="65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13"/>
    </row>
    <row r="10" spans="2:40" s="11" customFormat="1" ht="18" customHeight="1">
      <c r="B10" s="109" t="s">
        <v>33</v>
      </c>
      <c r="C10" s="66"/>
      <c r="D10" s="66"/>
      <c r="E10" s="66"/>
      <c r="F10" s="66"/>
      <c r="G10" s="66"/>
      <c r="H10" s="58" t="s">
        <v>26</v>
      </c>
      <c r="I10" s="62"/>
      <c r="J10" s="1338" t="str">
        <f>'1770 S-1'!K9</f>
        <v/>
      </c>
      <c r="K10" s="1338" t="str">
        <f>'1770 S-1'!L9</f>
        <v/>
      </c>
      <c r="L10" s="236"/>
      <c r="M10" s="1338" t="str">
        <f>'1770 S-1'!N9</f>
        <v/>
      </c>
      <c r="N10" s="1338" t="str">
        <f>'1770 S-1'!O9</f>
        <v/>
      </c>
      <c r="O10" s="1338" t="str">
        <f>'1770 S-1'!P9</f>
        <v/>
      </c>
      <c r="P10" s="236"/>
      <c r="Q10" s="1338" t="str">
        <f>'1770 S-1'!R9</f>
        <v/>
      </c>
      <c r="R10" s="1338" t="str">
        <f>'1770 S-1'!S9</f>
        <v/>
      </c>
      <c r="S10" s="1338" t="str">
        <f>'1770 S-1'!T9</f>
        <v/>
      </c>
      <c r="T10" s="236"/>
      <c r="U10" s="1338" t="str">
        <f>'1770 S-1'!V9</f>
        <v/>
      </c>
      <c r="V10" s="236"/>
      <c r="W10" s="1338" t="str">
        <f>'1770 S-1'!X9</f>
        <v/>
      </c>
      <c r="X10" s="1338" t="str">
        <f>'1770 S-1'!Y9</f>
        <v/>
      </c>
      <c r="Y10" s="1338" t="str">
        <f>'1770 S-1'!Z9</f>
        <v/>
      </c>
      <c r="Z10" s="236"/>
      <c r="AA10" s="1338" t="str">
        <f>'1770 S-1'!AB9</f>
        <v/>
      </c>
      <c r="AB10" s="1338" t="str">
        <f>'1770 S-1'!AC9</f>
        <v/>
      </c>
      <c r="AC10" s="1338" t="str">
        <f>'1770 S-1'!AD9</f>
        <v/>
      </c>
      <c r="AD10" s="236"/>
      <c r="AE10" s="236"/>
      <c r="AF10" s="11"/>
      <c r="AG10" s="11"/>
      <c r="AH10" s="11"/>
      <c r="AI10" s="11"/>
      <c r="AJ10" s="11"/>
      <c r="AK10" s="11"/>
      <c r="AL10" s="11"/>
      <c r="AM10" s="11"/>
      <c r="AN10" s="47"/>
    </row>
    <row r="11" spans="2:40" ht="3" customHeight="1">
      <c r="B11" s="111"/>
      <c r="C11" s="88"/>
      <c r="D11" s="88"/>
      <c r="E11" s="88"/>
      <c r="F11" s="88"/>
      <c r="G11" s="88"/>
      <c r="H11" s="113"/>
      <c r="I11" s="88"/>
      <c r="J11" s="15"/>
      <c r="K11" s="79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306" t="e">
        <f>#REF!</f>
        <v>#REF!</v>
      </c>
      <c r="AE11" s="306" t="e">
        <f>#REF!</f>
        <v>#REF!</v>
      </c>
      <c r="AF11" s="306" t="e">
        <f>#REF!</f>
        <v>#REF!</v>
      </c>
      <c r="AG11" s="306" t="e">
        <f>#REF!</f>
        <v>#REF!</v>
      </c>
      <c r="AH11" s="306" t="e">
        <f>#REF!</f>
        <v>#REF!</v>
      </c>
      <c r="AI11" s="306" t="e">
        <f>#REF!</f>
        <v>#REF!</v>
      </c>
      <c r="AJ11" s="306" t="e">
        <f>#REF!</f>
        <v>#REF!</v>
      </c>
      <c r="AK11" s="306" t="e">
        <f>#REF!</f>
        <v>#REF!</v>
      </c>
      <c r="AL11" s="306" t="e">
        <f>#REF!</f>
        <v>#REF!</v>
      </c>
      <c r="AM11" s="306" t="e">
        <f>#REF!</f>
        <v>#REF!</v>
      </c>
      <c r="AN11" s="52"/>
    </row>
    <row r="12" spans="2:40" s="11" customFormat="1" ht="18.75" customHeight="1">
      <c r="B12" s="109" t="s">
        <v>27</v>
      </c>
      <c r="C12" s="66"/>
      <c r="D12" s="66"/>
      <c r="E12" s="66"/>
      <c r="F12" s="66"/>
      <c r="G12" s="66"/>
      <c r="H12" s="58" t="s">
        <v>26</v>
      </c>
      <c r="I12" s="62"/>
      <c r="J12" s="1422" t="str">
        <f>UPPER(name)</f>
        <v>0</v>
      </c>
      <c r="K12" s="1351"/>
      <c r="L12" s="1351"/>
      <c r="M12" s="1351"/>
      <c r="N12" s="1351"/>
      <c r="O12" s="1351"/>
      <c r="P12" s="1351"/>
      <c r="Q12" s="1351"/>
      <c r="R12" s="1351"/>
      <c r="S12" s="1351"/>
      <c r="T12" s="1351"/>
      <c r="U12" s="1351"/>
      <c r="V12" s="1351"/>
      <c r="W12" s="1351"/>
      <c r="X12" s="1351"/>
      <c r="Y12" s="1351"/>
      <c r="Z12" s="1351"/>
      <c r="AA12" s="1351"/>
      <c r="AB12" s="1351"/>
      <c r="AC12" s="1351"/>
      <c r="AD12" s="1423"/>
      <c r="AE12" s="1423"/>
      <c r="AF12" s="1423"/>
      <c r="AG12" s="1423"/>
      <c r="AH12" s="1423"/>
      <c r="AI12" s="1423"/>
      <c r="AJ12" s="1423"/>
      <c r="AK12" s="1423"/>
      <c r="AL12" s="1423"/>
      <c r="AM12" s="1423"/>
      <c r="AN12" s="47"/>
    </row>
    <row r="13" spans="2:40" ht="3" customHeight="1" thickBot="1">
      <c r="B13" s="80"/>
      <c r="C13" s="2"/>
      <c r="D13" s="2"/>
      <c r="E13" s="2"/>
      <c r="F13" s="2"/>
      <c r="G13" s="2"/>
      <c r="H13" s="2"/>
      <c r="I13" s="2"/>
      <c r="J13" s="2"/>
      <c r="K13" s="59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14"/>
    </row>
    <row r="14" spans="2:40" ht="9" customHeight="1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</row>
    <row r="15" spans="2:40" ht="15" customHeight="1">
      <c r="B15" s="71" t="s">
        <v>39</v>
      </c>
      <c r="C15" s="75"/>
      <c r="D15" s="75"/>
      <c r="E15"/>
      <c r="F15" s="75" t="s">
        <v>26</v>
      </c>
      <c r="G15" s="75" t="s">
        <v>173</v>
      </c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/>
      <c r="AA15"/>
      <c r="AB15"/>
      <c r="AC15"/>
      <c r="AD15"/>
      <c r="AE15" s="11"/>
      <c r="AF15" s="11"/>
      <c r="AG15" s="11"/>
      <c r="AH15"/>
      <c r="AI15"/>
      <c r="AJ15"/>
      <c r="AK15"/>
      <c r="AL15"/>
      <c r="AM15"/>
      <c r="AN15"/>
    </row>
    <row r="16" spans="2:40" ht="4.5" customHeight="1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2:40" ht="15" customHeight="1">
      <c r="B17" s="142" t="s">
        <v>76</v>
      </c>
      <c r="C17" s="142" t="s">
        <v>49</v>
      </c>
      <c r="D17" s="1307"/>
      <c r="E17" s="1307"/>
      <c r="F17" s="1307"/>
      <c r="G17" s="1307"/>
      <c r="H17" s="1307"/>
      <c r="I17" s="1307"/>
      <c r="J17" s="1307"/>
      <c r="K17" s="1307"/>
      <c r="L17" s="1307"/>
      <c r="M17" s="1307"/>
      <c r="N17" s="1307"/>
      <c r="O17" s="1307"/>
      <c r="P17" s="1307"/>
      <c r="Q17" s="1895"/>
      <c r="R17" s="1307" t="s">
        <v>122</v>
      </c>
      <c r="S17" s="1307"/>
      <c r="T17" s="1307"/>
      <c r="U17" s="1307"/>
      <c r="V17" s="1307"/>
      <c r="W17" s="1307"/>
      <c r="X17" s="1307"/>
      <c r="Y17" s="1307"/>
      <c r="Z17" s="1307"/>
      <c r="AA17" s="1307"/>
      <c r="AB17" s="1307"/>
      <c r="AC17" s="1307"/>
      <c r="AD17" s="142" t="s">
        <v>3</v>
      </c>
      <c r="AE17" s="1307"/>
      <c r="AF17" s="1307"/>
      <c r="AG17" s="1307"/>
      <c r="AH17" s="1307"/>
      <c r="AI17" s="1307"/>
      <c r="AJ17" s="1307"/>
      <c r="AK17" s="1307"/>
      <c r="AL17" s="1307"/>
      <c r="AM17" s="1307"/>
      <c r="AN17" s="1895"/>
    </row>
    <row r="18" spans="2:40" ht="12" customHeight="1">
      <c r="B18" s="141"/>
      <c r="C18" s="141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297"/>
      <c r="R18" s="67" t="s">
        <v>123</v>
      </c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141"/>
      <c r="AE18" s="67"/>
      <c r="AF18" s="67"/>
      <c r="AG18" s="67"/>
      <c r="AH18" s="67"/>
      <c r="AI18" s="67"/>
      <c r="AJ18" s="67"/>
      <c r="AK18" s="67"/>
      <c r="AL18" s="67"/>
      <c r="AM18" s="67"/>
      <c r="AN18" s="297"/>
    </row>
    <row r="19" spans="2:40" ht="12" customHeight="1">
      <c r="B19" s="141"/>
      <c r="C19" s="141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297"/>
      <c r="R19" s="2635" t="s">
        <v>70</v>
      </c>
      <c r="S19" s="2636"/>
      <c r="T19" s="2636"/>
      <c r="U19" s="2636"/>
      <c r="V19" s="2636"/>
      <c r="W19" s="2636"/>
      <c r="X19" s="2636"/>
      <c r="Y19" s="2636"/>
      <c r="Z19" s="2636"/>
      <c r="AA19" s="2636"/>
      <c r="AB19" s="2636"/>
      <c r="AC19" s="2637"/>
      <c r="AD19" s="141" t="s">
        <v>70</v>
      </c>
      <c r="AE19" s="67"/>
      <c r="AF19" s="67"/>
      <c r="AG19" s="67"/>
      <c r="AH19" s="67"/>
      <c r="AI19" s="67"/>
      <c r="AJ19" s="67"/>
      <c r="AK19" s="67"/>
      <c r="AL19" s="67"/>
      <c r="AM19" s="67"/>
      <c r="AN19" s="297"/>
    </row>
    <row r="20" spans="2:40" s="16" customFormat="1" ht="12" customHeight="1">
      <c r="B20" s="176" t="s">
        <v>65</v>
      </c>
      <c r="C20" s="1909" t="s">
        <v>64</v>
      </c>
      <c r="D20" s="1910"/>
      <c r="E20" s="1910"/>
      <c r="F20" s="1910"/>
      <c r="G20" s="1910"/>
      <c r="H20" s="1910"/>
      <c r="I20" s="1910"/>
      <c r="J20" s="1910"/>
      <c r="K20" s="1910"/>
      <c r="L20" s="1910"/>
      <c r="M20" s="1910"/>
      <c r="N20" s="1910"/>
      <c r="O20" s="1910"/>
      <c r="P20" s="1910"/>
      <c r="Q20" s="1911"/>
      <c r="R20" s="1910" t="s">
        <v>66</v>
      </c>
      <c r="S20" s="1910"/>
      <c r="T20" s="1910"/>
      <c r="U20" s="1910"/>
      <c r="V20" s="1910"/>
      <c r="W20" s="1910"/>
      <c r="X20" s="1910"/>
      <c r="Y20" s="1910"/>
      <c r="Z20" s="1910"/>
      <c r="AA20" s="1910"/>
      <c r="AB20" s="1910"/>
      <c r="AC20" s="1910"/>
      <c r="AD20" s="1909" t="s">
        <v>67</v>
      </c>
      <c r="AE20" s="1910"/>
      <c r="AF20" s="1910"/>
      <c r="AG20" s="1910"/>
      <c r="AH20" s="1910"/>
      <c r="AI20" s="1910"/>
      <c r="AJ20" s="1910"/>
      <c r="AK20" s="1910"/>
      <c r="AL20" s="1910"/>
      <c r="AM20" s="1910"/>
      <c r="AN20" s="1911"/>
    </row>
    <row r="21" spans="2:40" ht="3" customHeight="1" hidden="1">
      <c r="B21" s="177"/>
      <c r="C21" s="177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3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7"/>
      <c r="AE21" s="172"/>
      <c r="AF21" s="172"/>
      <c r="AG21" s="172"/>
      <c r="AH21" s="172"/>
      <c r="AI21" s="172"/>
      <c r="AJ21" s="172"/>
      <c r="AK21" s="172"/>
      <c r="AL21" s="172"/>
      <c r="AM21" s="172"/>
      <c r="AN21" s="173"/>
    </row>
    <row r="22" spans="2:40" ht="15" customHeight="1">
      <c r="B22" s="1304" t="s">
        <v>386</v>
      </c>
      <c r="C22" s="2640" t="s">
        <v>431</v>
      </c>
      <c r="D22" s="2641"/>
      <c r="E22" s="2641"/>
      <c r="F22" s="2641"/>
      <c r="G22" s="2641"/>
      <c r="H22" s="2641"/>
      <c r="I22" s="2641"/>
      <c r="J22" s="2641"/>
      <c r="K22" s="2641"/>
      <c r="L22" s="2641"/>
      <c r="M22" s="2641"/>
      <c r="N22" s="2641"/>
      <c r="O22" s="2641"/>
      <c r="P22" s="2641"/>
      <c r="Q22" s="2642"/>
      <c r="R22" s="1869">
        <f>'GENERAL INFO'!O172</f>
        <v>0</v>
      </c>
      <c r="S22" s="1870"/>
      <c r="T22" s="1870"/>
      <c r="U22" s="1870"/>
      <c r="V22" s="1870"/>
      <c r="W22" s="1870"/>
      <c r="X22" s="1870"/>
      <c r="Y22" s="1870"/>
      <c r="Z22" s="1870"/>
      <c r="AA22" s="1870"/>
      <c r="AB22" s="1870"/>
      <c r="AC22" s="262"/>
      <c r="AD22" s="1869">
        <f>'GENERAL INFO'!T172</f>
        <v>0</v>
      </c>
      <c r="AE22" s="1870"/>
      <c r="AF22" s="1870"/>
      <c r="AG22" s="1870"/>
      <c r="AH22" s="1870"/>
      <c r="AI22" s="1870"/>
      <c r="AJ22" s="1870"/>
      <c r="AK22" s="1870"/>
      <c r="AL22" s="1870"/>
      <c r="AM22" s="1870"/>
      <c r="AN22" s="256"/>
    </row>
    <row r="23" spans="2:40" ht="15" customHeight="1">
      <c r="B23" s="1900"/>
      <c r="C23" s="2625"/>
      <c r="D23" s="2626"/>
      <c r="E23" s="2626"/>
      <c r="F23" s="2626"/>
      <c r="G23" s="2626"/>
      <c r="H23" s="2626"/>
      <c r="I23" s="2626"/>
      <c r="J23" s="2626"/>
      <c r="K23" s="2626"/>
      <c r="L23" s="2626"/>
      <c r="M23" s="2626"/>
      <c r="N23" s="2626"/>
      <c r="O23" s="2626"/>
      <c r="P23" s="2626"/>
      <c r="Q23" s="2627"/>
      <c r="R23" s="377"/>
      <c r="S23" s="1871"/>
      <c r="T23" s="1871"/>
      <c r="U23" s="1871"/>
      <c r="V23" s="1871"/>
      <c r="W23" s="1871"/>
      <c r="X23" s="1871"/>
      <c r="Y23" s="1871"/>
      <c r="Z23" s="1871"/>
      <c r="AA23" s="1871"/>
      <c r="AB23" s="1871"/>
      <c r="AC23" s="261"/>
      <c r="AD23" s="377"/>
      <c r="AE23" s="1871"/>
      <c r="AF23" s="1871"/>
      <c r="AG23" s="1871"/>
      <c r="AH23" s="1871"/>
      <c r="AI23" s="1871"/>
      <c r="AJ23" s="1871"/>
      <c r="AK23" s="1871"/>
      <c r="AL23" s="1871"/>
      <c r="AM23" s="1871"/>
      <c r="AN23" s="263"/>
    </row>
    <row r="24" spans="2:40" ht="3" customHeight="1">
      <c r="B24" s="141"/>
      <c r="C24" s="217"/>
      <c r="D24" s="219"/>
      <c r="E24" s="219"/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20"/>
      <c r="R24" s="67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141"/>
      <c r="AE24" s="66"/>
      <c r="AF24" s="66"/>
      <c r="AG24" s="66"/>
      <c r="AH24" s="66"/>
      <c r="AI24" s="66"/>
      <c r="AJ24" s="66"/>
      <c r="AK24" s="66"/>
      <c r="AL24" s="66"/>
      <c r="AM24" s="66"/>
      <c r="AN24" s="144"/>
    </row>
    <row r="25" spans="2:40" ht="15" customHeight="1">
      <c r="B25" s="141" t="s">
        <v>387</v>
      </c>
      <c r="C25" s="2624" t="s">
        <v>458</v>
      </c>
      <c r="D25" s="1322"/>
      <c r="E25" s="1322"/>
      <c r="F25" s="1322"/>
      <c r="G25" s="1322"/>
      <c r="H25" s="1322"/>
      <c r="I25" s="1322"/>
      <c r="J25" s="1322"/>
      <c r="K25" s="1322"/>
      <c r="L25" s="1322"/>
      <c r="M25" s="1322"/>
      <c r="N25" s="1322"/>
      <c r="O25" s="1322"/>
      <c r="P25" s="1322"/>
      <c r="Q25" s="1323"/>
      <c r="R25" s="376">
        <f>'GENERAL INFO'!O173</f>
        <v>0</v>
      </c>
      <c r="S25" s="246"/>
      <c r="T25" s="246"/>
      <c r="U25" s="246"/>
      <c r="V25" s="246"/>
      <c r="W25" s="246"/>
      <c r="X25" s="246"/>
      <c r="Y25" s="246"/>
      <c r="Z25" s="246"/>
      <c r="AA25" s="246"/>
      <c r="AB25" s="246"/>
      <c r="AC25" s="258"/>
      <c r="AD25" s="376">
        <f>'GENERAL INFO'!T173</f>
        <v>0</v>
      </c>
      <c r="AE25" s="246"/>
      <c r="AF25" s="246"/>
      <c r="AG25" s="246"/>
      <c r="AH25" s="246"/>
      <c r="AI25" s="246"/>
      <c r="AJ25" s="246"/>
      <c r="AK25" s="246"/>
      <c r="AL25" s="246"/>
      <c r="AM25" s="246"/>
      <c r="AN25" s="243"/>
    </row>
    <row r="26" spans="2:40" ht="15.5">
      <c r="B26" s="1293"/>
      <c r="C26" s="2625" t="s">
        <v>155</v>
      </c>
      <c r="D26" s="2626"/>
      <c r="E26" s="2626"/>
      <c r="F26" s="2626"/>
      <c r="G26" s="2626"/>
      <c r="H26" s="2626"/>
      <c r="I26" s="2626"/>
      <c r="J26" s="2626"/>
      <c r="K26" s="2626"/>
      <c r="L26" s="2626"/>
      <c r="M26" s="2626"/>
      <c r="N26" s="2626"/>
      <c r="O26" s="2626"/>
      <c r="P26" s="2626"/>
      <c r="Q26" s="2627"/>
      <c r="R26" s="377"/>
      <c r="S26" s="1871"/>
      <c r="T26" s="1871"/>
      <c r="U26" s="1871"/>
      <c r="V26" s="1871"/>
      <c r="W26" s="1871"/>
      <c r="X26" s="1871"/>
      <c r="Y26" s="1871"/>
      <c r="Z26" s="1871"/>
      <c r="AA26" s="1871"/>
      <c r="AB26" s="1871"/>
      <c r="AC26" s="261"/>
      <c r="AD26" s="377"/>
      <c r="AE26" s="1871"/>
      <c r="AF26" s="1871"/>
      <c r="AG26" s="1871"/>
      <c r="AH26" s="1871"/>
      <c r="AI26" s="1871"/>
      <c r="AJ26" s="1871"/>
      <c r="AK26" s="1871"/>
      <c r="AL26" s="1871"/>
      <c r="AM26" s="1871"/>
      <c r="AN26" s="263"/>
    </row>
    <row r="27" spans="2:40" ht="3" customHeight="1">
      <c r="B27" s="142"/>
      <c r="C27" s="1427"/>
      <c r="D27" s="1428"/>
      <c r="E27" s="1428"/>
      <c r="F27" s="1428"/>
      <c r="G27" s="1428"/>
      <c r="H27" s="1428"/>
      <c r="I27" s="1428"/>
      <c r="J27" s="1428"/>
      <c r="K27" s="1428"/>
      <c r="L27" s="1428"/>
      <c r="M27" s="1428"/>
      <c r="N27" s="1428"/>
      <c r="O27" s="1428"/>
      <c r="P27" s="1428"/>
      <c r="Q27" s="1429"/>
      <c r="R27" s="1307"/>
      <c r="S27" s="624"/>
      <c r="T27" s="624"/>
      <c r="U27" s="624"/>
      <c r="V27" s="624"/>
      <c r="W27" s="624"/>
      <c r="X27" s="624"/>
      <c r="Y27" s="624"/>
      <c r="Z27" s="624"/>
      <c r="AA27" s="624"/>
      <c r="AB27" s="624"/>
      <c r="AC27" s="624"/>
      <c r="AD27" s="1869">
        <f>'GENERAL INFO'!T174</f>
        <v>0</v>
      </c>
      <c r="AE27" s="1870"/>
      <c r="AF27" s="1870"/>
      <c r="AG27" s="1870"/>
      <c r="AH27" s="1870"/>
      <c r="AI27" s="1870"/>
      <c r="AJ27" s="1870"/>
      <c r="AK27" s="1870"/>
      <c r="AL27" s="1870"/>
      <c r="AM27" s="1870"/>
      <c r="AN27" s="1356"/>
    </row>
    <row r="28" spans="2:40" ht="15" customHeight="1">
      <c r="B28" s="141" t="s">
        <v>388</v>
      </c>
      <c r="C28" s="2540" t="s">
        <v>130</v>
      </c>
      <c r="D28" s="298"/>
      <c r="E28" s="298"/>
      <c r="F28" s="298"/>
      <c r="G28" s="298"/>
      <c r="H28" s="298"/>
      <c r="I28" s="298"/>
      <c r="J28" s="298"/>
      <c r="K28" s="298"/>
      <c r="L28" s="298"/>
      <c r="M28" s="298"/>
      <c r="N28" s="112"/>
      <c r="O28" s="112"/>
      <c r="P28" s="112"/>
      <c r="Q28" s="222"/>
      <c r="R28" s="376">
        <f>'GENERAL INFO'!O174</f>
        <v>0</v>
      </c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58"/>
      <c r="AD28" s="376">
        <f>'[14]GENERAL INFO'!T175</f>
        <v>0</v>
      </c>
      <c r="AE28" s="246"/>
      <c r="AF28" s="246"/>
      <c r="AG28" s="246"/>
      <c r="AH28" s="246"/>
      <c r="AI28" s="246"/>
      <c r="AJ28" s="246"/>
      <c r="AK28" s="246"/>
      <c r="AL28" s="246"/>
      <c r="AM28" s="246"/>
      <c r="AN28" s="243"/>
    </row>
    <row r="29" spans="2:40" ht="8.25" customHeight="1">
      <c r="B29" s="1293"/>
      <c r="C29" s="2541"/>
      <c r="D29" s="2542"/>
      <c r="E29" s="2542"/>
      <c r="F29" s="2542"/>
      <c r="G29" s="2542"/>
      <c r="H29" s="2542"/>
      <c r="I29" s="2542"/>
      <c r="J29" s="2542"/>
      <c r="K29" s="2542"/>
      <c r="L29" s="2542"/>
      <c r="M29" s="2542"/>
      <c r="N29" s="1430"/>
      <c r="O29" s="1430"/>
      <c r="P29" s="1430"/>
      <c r="Q29" s="1431"/>
      <c r="R29" s="377"/>
      <c r="S29" s="1871"/>
      <c r="T29" s="1871"/>
      <c r="U29" s="1871"/>
      <c r="V29" s="1871"/>
      <c r="W29" s="1871"/>
      <c r="X29" s="1871"/>
      <c r="Y29" s="1871"/>
      <c r="Z29" s="1871"/>
      <c r="AA29" s="1871"/>
      <c r="AB29" s="1871"/>
      <c r="AC29" s="261"/>
      <c r="AD29" s="377"/>
      <c r="AE29" s="1871"/>
      <c r="AF29" s="1871"/>
      <c r="AG29" s="1871"/>
      <c r="AH29" s="1871"/>
      <c r="AI29" s="1871"/>
      <c r="AJ29" s="1871"/>
      <c r="AK29" s="1871"/>
      <c r="AL29" s="1871"/>
      <c r="AM29" s="1871"/>
      <c r="AN29" s="263"/>
    </row>
    <row r="30" spans="2:40" ht="3" customHeight="1">
      <c r="B30" s="142"/>
      <c r="C30" s="1432"/>
      <c r="D30" s="1433"/>
      <c r="E30" s="1433"/>
      <c r="F30" s="1433"/>
      <c r="G30" s="1433"/>
      <c r="H30" s="1433"/>
      <c r="I30" s="1433"/>
      <c r="J30" s="1433"/>
      <c r="K30" s="1433"/>
      <c r="L30" s="1433"/>
      <c r="M30" s="1433"/>
      <c r="N30" s="1433"/>
      <c r="O30" s="1433"/>
      <c r="P30" s="1433"/>
      <c r="Q30" s="1434"/>
      <c r="R30" s="1307"/>
      <c r="S30" s="624"/>
      <c r="T30" s="624"/>
      <c r="U30" s="624"/>
      <c r="V30" s="624"/>
      <c r="W30" s="624"/>
      <c r="X30" s="624"/>
      <c r="Y30" s="624"/>
      <c r="Z30" s="624"/>
      <c r="AA30" s="624"/>
      <c r="AB30" s="624"/>
      <c r="AC30" s="624"/>
      <c r="AD30" s="1869">
        <f>'GENERAL INFO'!T175</f>
        <v>0</v>
      </c>
      <c r="AE30" s="1870"/>
      <c r="AF30" s="1870"/>
      <c r="AG30" s="1870"/>
      <c r="AH30" s="1870"/>
      <c r="AI30" s="1870"/>
      <c r="AJ30" s="1870"/>
      <c r="AK30" s="1870"/>
      <c r="AL30" s="1870"/>
      <c r="AM30" s="1870"/>
      <c r="AN30" s="1356"/>
    </row>
    <row r="31" spans="2:40" ht="15" customHeight="1">
      <c r="B31" s="141" t="s">
        <v>389</v>
      </c>
      <c r="C31" s="2618" t="s">
        <v>51</v>
      </c>
      <c r="D31" s="2619"/>
      <c r="E31" s="2619"/>
      <c r="F31" s="2619"/>
      <c r="G31" s="2619"/>
      <c r="H31" s="2619"/>
      <c r="I31" s="2619"/>
      <c r="J31" s="2619"/>
      <c r="K31" s="2619"/>
      <c r="L31" s="2619"/>
      <c r="M31" s="2619"/>
      <c r="N31" s="2619"/>
      <c r="O31" s="2619"/>
      <c r="P31" s="2619"/>
      <c r="Q31" s="2620"/>
      <c r="R31" s="376">
        <f>'GENERAL INFO'!O175</f>
        <v>0</v>
      </c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58"/>
      <c r="AD31" s="376">
        <f>'[14]GENERAL INFO'!T176</f>
        <v>0</v>
      </c>
      <c r="AE31" s="246"/>
      <c r="AF31" s="246"/>
      <c r="AG31" s="246"/>
      <c r="AH31" s="246"/>
      <c r="AI31" s="246"/>
      <c r="AJ31" s="246"/>
      <c r="AK31" s="246"/>
      <c r="AL31" s="246"/>
      <c r="AM31" s="246"/>
      <c r="AN31" s="243"/>
    </row>
    <row r="32" spans="2:40" ht="9" customHeight="1">
      <c r="B32" s="1293"/>
      <c r="C32" s="2621"/>
      <c r="D32" s="2622"/>
      <c r="E32" s="2622"/>
      <c r="F32" s="2622"/>
      <c r="G32" s="2622"/>
      <c r="H32" s="2622"/>
      <c r="I32" s="2622"/>
      <c r="J32" s="2622"/>
      <c r="K32" s="2622"/>
      <c r="L32" s="2622"/>
      <c r="M32" s="2622"/>
      <c r="N32" s="2622"/>
      <c r="O32" s="2622"/>
      <c r="P32" s="2622"/>
      <c r="Q32" s="2623"/>
      <c r="R32" s="377"/>
      <c r="S32" s="1871"/>
      <c r="T32" s="1871"/>
      <c r="U32" s="1871"/>
      <c r="V32" s="1871"/>
      <c r="W32" s="1871"/>
      <c r="X32" s="1871"/>
      <c r="Y32" s="1871"/>
      <c r="Z32" s="1871"/>
      <c r="AA32" s="1871"/>
      <c r="AB32" s="1871"/>
      <c r="AC32" s="261"/>
      <c r="AD32" s="377"/>
      <c r="AE32" s="1871"/>
      <c r="AF32" s="1871"/>
      <c r="AG32" s="1871"/>
      <c r="AH32" s="1871"/>
      <c r="AI32" s="1871"/>
      <c r="AJ32" s="1871"/>
      <c r="AK32" s="1871"/>
      <c r="AL32" s="1871"/>
      <c r="AM32" s="1871"/>
      <c r="AN32" s="263"/>
    </row>
    <row r="33" spans="2:40" ht="3" customHeight="1">
      <c r="B33" s="142"/>
      <c r="C33" s="1427"/>
      <c r="D33" s="1428"/>
      <c r="E33" s="1428"/>
      <c r="F33" s="1428"/>
      <c r="G33" s="1428"/>
      <c r="H33" s="1428"/>
      <c r="I33" s="1428"/>
      <c r="J33" s="1428"/>
      <c r="K33" s="1428"/>
      <c r="L33" s="1428"/>
      <c r="M33" s="1428"/>
      <c r="N33" s="1428"/>
      <c r="O33" s="1428"/>
      <c r="P33" s="1428"/>
      <c r="Q33" s="1429"/>
      <c r="R33" s="1307"/>
      <c r="S33" s="624"/>
      <c r="T33" s="624"/>
      <c r="U33" s="624"/>
      <c r="V33" s="624"/>
      <c r="W33" s="624"/>
      <c r="X33" s="624"/>
      <c r="Y33" s="624"/>
      <c r="Z33" s="624"/>
      <c r="AA33" s="624"/>
      <c r="AB33" s="624"/>
      <c r="AC33" s="624"/>
      <c r="AD33" s="1869">
        <f>'GENERAL INFO'!T176</f>
        <v>0</v>
      </c>
      <c r="AE33" s="1870"/>
      <c r="AF33" s="1870"/>
      <c r="AG33" s="1870"/>
      <c r="AH33" s="1870"/>
      <c r="AI33" s="1870"/>
      <c r="AJ33" s="1870"/>
      <c r="AK33" s="1870"/>
      <c r="AL33" s="1870"/>
      <c r="AM33" s="1870"/>
      <c r="AN33" s="1356"/>
    </row>
    <row r="34" spans="2:40" ht="15" customHeight="1">
      <c r="B34" s="141" t="s">
        <v>390</v>
      </c>
      <c r="C34" s="175" t="s">
        <v>86</v>
      </c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220"/>
      <c r="R34" s="376">
        <f>'GENERAL INFO'!O176</f>
        <v>0</v>
      </c>
      <c r="S34" s="246"/>
      <c r="T34" s="246"/>
      <c r="U34" s="246"/>
      <c r="V34" s="246"/>
      <c r="W34" s="246"/>
      <c r="X34" s="246"/>
      <c r="Y34" s="246"/>
      <c r="Z34" s="246"/>
      <c r="AA34" s="246"/>
      <c r="AB34" s="246"/>
      <c r="AC34" s="258"/>
      <c r="AD34" s="376">
        <f>'[14]GENERAL INFO'!T177</f>
        <v>0</v>
      </c>
      <c r="AE34" s="246"/>
      <c r="AF34" s="246"/>
      <c r="AG34" s="246"/>
      <c r="AH34" s="246"/>
      <c r="AI34" s="246"/>
      <c r="AJ34" s="246"/>
      <c r="AK34" s="246"/>
      <c r="AL34" s="246"/>
      <c r="AM34" s="246"/>
      <c r="AN34" s="243"/>
    </row>
    <row r="35" spans="2:40" ht="15" customHeight="1">
      <c r="B35" s="1293"/>
      <c r="C35" s="2628" t="s">
        <v>432</v>
      </c>
      <c r="D35" s="2629"/>
      <c r="E35" s="2629"/>
      <c r="F35" s="2629"/>
      <c r="G35" s="2629"/>
      <c r="H35" s="2629"/>
      <c r="I35" s="2629"/>
      <c r="J35" s="2629"/>
      <c r="K35" s="2629"/>
      <c r="L35" s="2629"/>
      <c r="M35" s="2629"/>
      <c r="N35" s="2629"/>
      <c r="O35" s="2629"/>
      <c r="P35" s="2629"/>
      <c r="Q35" s="1435"/>
      <c r="R35" s="377"/>
      <c r="S35" s="1871"/>
      <c r="T35" s="1871"/>
      <c r="U35" s="1871"/>
      <c r="V35" s="1871"/>
      <c r="W35" s="1871"/>
      <c r="X35" s="1871"/>
      <c r="Y35" s="1871"/>
      <c r="Z35" s="1871"/>
      <c r="AA35" s="1871"/>
      <c r="AB35" s="1871"/>
      <c r="AC35" s="261"/>
      <c r="AD35" s="377"/>
      <c r="AE35" s="1871"/>
      <c r="AF35" s="1871"/>
      <c r="AG35" s="1871"/>
      <c r="AH35" s="1871"/>
      <c r="AI35" s="1871"/>
      <c r="AJ35" s="1871"/>
      <c r="AK35" s="1871"/>
      <c r="AL35" s="1871"/>
      <c r="AM35" s="1871"/>
      <c r="AN35" s="263"/>
    </row>
    <row r="36" spans="2:40" ht="3" customHeight="1">
      <c r="B36" s="141"/>
      <c r="C36" s="217"/>
      <c r="D36" s="219"/>
      <c r="E36" s="219"/>
      <c r="F36" s="219"/>
      <c r="G36" s="219"/>
      <c r="H36" s="219"/>
      <c r="I36" s="219"/>
      <c r="J36" s="219"/>
      <c r="K36" s="219"/>
      <c r="L36" s="219"/>
      <c r="M36" s="219"/>
      <c r="N36" s="219"/>
      <c r="O36" s="219"/>
      <c r="P36" s="219"/>
      <c r="Q36" s="220"/>
      <c r="R36" s="67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141"/>
      <c r="AE36" s="66"/>
      <c r="AF36" s="66"/>
      <c r="AG36" s="66"/>
      <c r="AH36" s="66"/>
      <c r="AI36" s="66"/>
      <c r="AJ36" s="66"/>
      <c r="AK36" s="66"/>
      <c r="AL36" s="66"/>
      <c r="AM36" s="66"/>
      <c r="AN36" s="144"/>
    </row>
    <row r="37" spans="2:40" ht="15" customHeight="1">
      <c r="B37" s="141" t="s">
        <v>391</v>
      </c>
      <c r="C37" s="2540" t="s">
        <v>156</v>
      </c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1398"/>
      <c r="R37" s="376">
        <f>'GENERAL INFO'!O177</f>
        <v>0</v>
      </c>
      <c r="S37" s="246"/>
      <c r="T37" s="246"/>
      <c r="U37" s="246"/>
      <c r="V37" s="246"/>
      <c r="W37" s="246"/>
      <c r="X37" s="246"/>
      <c r="Y37" s="246"/>
      <c r="Z37" s="246"/>
      <c r="AA37" s="246"/>
      <c r="AB37" s="246"/>
      <c r="AC37" s="258"/>
      <c r="AD37" s="376">
        <f>'GENERAL INFO'!T177</f>
        <v>0</v>
      </c>
      <c r="AE37" s="246"/>
      <c r="AF37" s="246"/>
      <c r="AG37" s="246"/>
      <c r="AH37" s="246"/>
      <c r="AI37" s="246"/>
      <c r="AJ37" s="246"/>
      <c r="AK37" s="246"/>
      <c r="AL37" s="246"/>
      <c r="AM37" s="246"/>
      <c r="AN37" s="243"/>
    </row>
    <row r="38" spans="2:40" ht="6.75" customHeight="1">
      <c r="B38" s="1293"/>
      <c r="C38" s="2541"/>
      <c r="D38" s="2542"/>
      <c r="E38" s="2542"/>
      <c r="F38" s="2542"/>
      <c r="G38" s="2542"/>
      <c r="H38" s="2542"/>
      <c r="I38" s="2542"/>
      <c r="J38" s="2542"/>
      <c r="K38" s="2542"/>
      <c r="L38" s="2542"/>
      <c r="M38" s="2542"/>
      <c r="N38" s="2542"/>
      <c r="O38" s="2542"/>
      <c r="P38" s="2542"/>
      <c r="Q38" s="2543"/>
      <c r="R38" s="377"/>
      <c r="S38" s="1871"/>
      <c r="T38" s="1871"/>
      <c r="U38" s="1871"/>
      <c r="V38" s="1871"/>
      <c r="W38" s="1871"/>
      <c r="X38" s="1871"/>
      <c r="Y38" s="1871"/>
      <c r="Z38" s="1871"/>
      <c r="AA38" s="1871"/>
      <c r="AB38" s="1871"/>
      <c r="AC38" s="261"/>
      <c r="AD38" s="377"/>
      <c r="AE38" s="1871"/>
      <c r="AF38" s="1871"/>
      <c r="AG38" s="1871"/>
      <c r="AH38" s="1871"/>
      <c r="AI38" s="1871"/>
      <c r="AJ38" s="1871"/>
      <c r="AK38" s="1871"/>
      <c r="AL38" s="1871"/>
      <c r="AM38" s="1871"/>
      <c r="AN38" s="263"/>
    </row>
    <row r="39" spans="2:40" ht="3" customHeight="1">
      <c r="B39" s="141"/>
      <c r="C39" s="221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222"/>
      <c r="R39" s="67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141"/>
      <c r="AE39" s="66"/>
      <c r="AF39" s="66"/>
      <c r="AG39" s="66"/>
      <c r="AH39" s="66"/>
      <c r="AI39" s="66"/>
      <c r="AJ39" s="66"/>
      <c r="AK39" s="66"/>
      <c r="AL39" s="66"/>
      <c r="AM39" s="66"/>
      <c r="AN39" s="144"/>
    </row>
    <row r="40" spans="2:40" ht="15" customHeight="1">
      <c r="B40" s="141" t="s">
        <v>394</v>
      </c>
      <c r="C40" s="2540" t="s">
        <v>177</v>
      </c>
      <c r="D40" s="298"/>
      <c r="E40" s="298"/>
      <c r="F40" s="298"/>
      <c r="G40" s="298"/>
      <c r="H40" s="298"/>
      <c r="I40" s="298"/>
      <c r="J40" s="298"/>
      <c r="K40" s="298"/>
      <c r="L40" s="298"/>
      <c r="M40" s="298"/>
      <c r="N40" s="298"/>
      <c r="O40" s="298"/>
      <c r="P40" s="298"/>
      <c r="Q40" s="222"/>
      <c r="R40" s="376">
        <f>'GENERAL INFO'!O178</f>
        <v>0</v>
      </c>
      <c r="S40" s="246"/>
      <c r="T40" s="246"/>
      <c r="U40" s="246"/>
      <c r="V40" s="246"/>
      <c r="W40" s="246"/>
      <c r="X40" s="246"/>
      <c r="Y40" s="246"/>
      <c r="Z40" s="246"/>
      <c r="AA40" s="246"/>
      <c r="AB40" s="246"/>
      <c r="AC40" s="258"/>
      <c r="AD40" s="2124">
        <f>'GENERAL INFO'!T178</f>
        <v>0</v>
      </c>
      <c r="AE40" s="2125"/>
      <c r="AF40" s="2125"/>
      <c r="AG40" s="2125"/>
      <c r="AH40" s="2125"/>
      <c r="AI40" s="2125"/>
      <c r="AJ40" s="2125"/>
      <c r="AK40" s="2125"/>
      <c r="AL40" s="2125"/>
      <c r="AM40" s="2125"/>
      <c r="AN40" s="266"/>
    </row>
    <row r="41" spans="2:40" ht="10.5" customHeight="1">
      <c r="B41" s="141"/>
      <c r="C41" s="2540"/>
      <c r="D41" s="298"/>
      <c r="E41" s="298"/>
      <c r="F41" s="298"/>
      <c r="G41" s="298"/>
      <c r="H41" s="298"/>
      <c r="I41" s="298"/>
      <c r="J41" s="298"/>
      <c r="K41" s="298"/>
      <c r="L41" s="298"/>
      <c r="M41" s="298"/>
      <c r="N41" s="298"/>
      <c r="O41" s="298"/>
      <c r="P41" s="298"/>
      <c r="Q41" s="222"/>
      <c r="R41" s="376"/>
      <c r="S41" s="246"/>
      <c r="T41" s="246"/>
      <c r="U41" s="246"/>
      <c r="V41" s="246"/>
      <c r="W41" s="246"/>
      <c r="X41" s="246"/>
      <c r="Y41" s="246"/>
      <c r="Z41" s="246"/>
      <c r="AA41" s="246"/>
      <c r="AB41" s="246"/>
      <c r="AC41" s="258"/>
      <c r="AD41" s="2124"/>
      <c r="AE41" s="2125"/>
      <c r="AF41" s="2125"/>
      <c r="AG41" s="2125"/>
      <c r="AH41" s="2125"/>
      <c r="AI41" s="2125"/>
      <c r="AJ41" s="2125"/>
      <c r="AK41" s="2125"/>
      <c r="AL41" s="2125"/>
      <c r="AM41" s="2125"/>
      <c r="AN41" s="266"/>
    </row>
    <row r="42" spans="2:40" ht="3" customHeight="1">
      <c r="B42" s="141"/>
      <c r="C42" s="221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222"/>
      <c r="R42" s="67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141"/>
      <c r="AE42" s="66"/>
      <c r="AF42" s="66"/>
      <c r="AG42" s="66"/>
      <c r="AH42" s="66"/>
      <c r="AI42" s="66"/>
      <c r="AJ42" s="66"/>
      <c r="AK42" s="66"/>
      <c r="AL42" s="66"/>
      <c r="AM42" s="66"/>
      <c r="AN42" s="144"/>
    </row>
    <row r="43" spans="2:40" ht="15" customHeight="1">
      <c r="B43" s="142" t="s">
        <v>395</v>
      </c>
      <c r="C43" s="2591" t="s">
        <v>178</v>
      </c>
      <c r="D43" s="2544"/>
      <c r="E43" s="2544"/>
      <c r="F43" s="2544"/>
      <c r="G43" s="2544"/>
      <c r="H43" s="2544"/>
      <c r="I43" s="2544"/>
      <c r="J43" s="2544"/>
      <c r="K43" s="2544"/>
      <c r="L43" s="2544"/>
      <c r="M43" s="2544"/>
      <c r="N43" s="2649"/>
      <c r="O43" s="2649"/>
      <c r="P43" s="2649"/>
      <c r="Q43" s="2650"/>
      <c r="R43" s="1869">
        <f>'GENERAL INFO'!O179</f>
        <v>0</v>
      </c>
      <c r="S43" s="1870"/>
      <c r="T43" s="1870"/>
      <c r="U43" s="1870"/>
      <c r="V43" s="1870"/>
      <c r="W43" s="1870"/>
      <c r="X43" s="1870"/>
      <c r="Y43" s="1870"/>
      <c r="Z43" s="1870"/>
      <c r="AA43" s="1870"/>
      <c r="AB43" s="1870"/>
      <c r="AC43" s="262"/>
      <c r="AD43" s="1869">
        <f>'GENERAL INFO'!T179</f>
        <v>0</v>
      </c>
      <c r="AE43" s="1870"/>
      <c r="AF43" s="1870"/>
      <c r="AG43" s="1870"/>
      <c r="AH43" s="1870"/>
      <c r="AI43" s="1870"/>
      <c r="AJ43" s="1870"/>
      <c r="AK43" s="1870"/>
      <c r="AL43" s="1870"/>
      <c r="AM43" s="1870"/>
      <c r="AN43" s="256"/>
    </row>
    <row r="44" spans="2:40" ht="8.25" customHeight="1">
      <c r="B44" s="1293"/>
      <c r="C44" s="2541"/>
      <c r="D44" s="2542"/>
      <c r="E44" s="2542"/>
      <c r="F44" s="2542"/>
      <c r="G44" s="2542"/>
      <c r="H44" s="2542"/>
      <c r="I44" s="2542"/>
      <c r="J44" s="2542"/>
      <c r="K44" s="2542"/>
      <c r="L44" s="2542"/>
      <c r="M44" s="2542"/>
      <c r="N44" s="2651"/>
      <c r="O44" s="2651"/>
      <c r="P44" s="2651"/>
      <c r="Q44" s="2652"/>
      <c r="R44" s="377"/>
      <c r="S44" s="1871"/>
      <c r="T44" s="1871"/>
      <c r="U44" s="1871"/>
      <c r="V44" s="1871"/>
      <c r="W44" s="1871"/>
      <c r="X44" s="1871"/>
      <c r="Y44" s="1871"/>
      <c r="Z44" s="1871"/>
      <c r="AA44" s="1871"/>
      <c r="AB44" s="1871"/>
      <c r="AC44" s="261"/>
      <c r="AD44" s="377"/>
      <c r="AE44" s="1871"/>
      <c r="AF44" s="1871"/>
      <c r="AG44" s="1871"/>
      <c r="AH44" s="1871"/>
      <c r="AI44" s="1871"/>
      <c r="AJ44" s="1871"/>
      <c r="AK44" s="1871"/>
      <c r="AL44" s="1871"/>
      <c r="AM44" s="1871"/>
      <c r="AN44" s="263"/>
    </row>
    <row r="45" spans="2:40" ht="3" customHeight="1">
      <c r="B45" s="142"/>
      <c r="C45" s="1427"/>
      <c r="D45" s="1428"/>
      <c r="E45" s="1428"/>
      <c r="F45" s="1428"/>
      <c r="G45" s="1428"/>
      <c r="H45" s="1428"/>
      <c r="I45" s="1428"/>
      <c r="J45" s="1428"/>
      <c r="K45" s="1428"/>
      <c r="L45" s="1428"/>
      <c r="M45" s="1428"/>
      <c r="N45" s="1428"/>
      <c r="O45" s="1436"/>
      <c r="P45" s="1436"/>
      <c r="Q45" s="1429"/>
      <c r="R45" s="1307"/>
      <c r="S45" s="624"/>
      <c r="T45" s="624"/>
      <c r="U45" s="624"/>
      <c r="V45" s="624"/>
      <c r="W45" s="624"/>
      <c r="X45" s="624"/>
      <c r="Y45" s="624"/>
      <c r="Z45" s="624"/>
      <c r="AA45" s="624"/>
      <c r="AB45" s="624"/>
      <c r="AC45" s="624"/>
      <c r="AD45" s="1869">
        <f>'GENERAL INFO'!T180</f>
        <v>0</v>
      </c>
      <c r="AE45" s="1870"/>
      <c r="AF45" s="1870"/>
      <c r="AG45" s="1870"/>
      <c r="AH45" s="1870"/>
      <c r="AI45" s="1870"/>
      <c r="AJ45" s="1870"/>
      <c r="AK45" s="1870"/>
      <c r="AL45" s="1870"/>
      <c r="AM45" s="1870"/>
      <c r="AN45" s="1356"/>
    </row>
    <row r="46" spans="2:40" ht="15" customHeight="1">
      <c r="B46" s="141" t="s">
        <v>396</v>
      </c>
      <c r="C46" s="2643" t="s">
        <v>433</v>
      </c>
      <c r="D46" s="2644"/>
      <c r="E46" s="2644"/>
      <c r="F46" s="2644"/>
      <c r="G46" s="2644"/>
      <c r="H46" s="2644"/>
      <c r="I46" s="2644"/>
      <c r="J46" s="2644"/>
      <c r="K46" s="2644"/>
      <c r="L46" s="2644"/>
      <c r="M46" s="2644"/>
      <c r="N46" s="2644"/>
      <c r="O46" s="2644"/>
      <c r="P46" s="2644"/>
      <c r="Q46" s="2645"/>
      <c r="R46" s="376">
        <f>'GENERAL INFO'!O180</f>
        <v>0</v>
      </c>
      <c r="S46" s="246"/>
      <c r="T46" s="246"/>
      <c r="U46" s="246"/>
      <c r="V46" s="246"/>
      <c r="W46" s="246"/>
      <c r="X46" s="246"/>
      <c r="Y46" s="246"/>
      <c r="Z46" s="246"/>
      <c r="AA46" s="246"/>
      <c r="AB46" s="246"/>
      <c r="AC46" s="258"/>
      <c r="AD46" s="376">
        <f>'[14]GENERAL INFO'!T181</f>
        <v>0</v>
      </c>
      <c r="AE46" s="246"/>
      <c r="AF46" s="246"/>
      <c r="AG46" s="246"/>
      <c r="AH46" s="246"/>
      <c r="AI46" s="246"/>
      <c r="AJ46" s="246"/>
      <c r="AK46" s="246"/>
      <c r="AL46" s="246"/>
      <c r="AM46" s="246"/>
      <c r="AN46" s="243"/>
    </row>
    <row r="47" spans="2:40" ht="15" customHeight="1">
      <c r="B47" s="1293"/>
      <c r="C47" s="2646"/>
      <c r="D47" s="2647"/>
      <c r="E47" s="2647"/>
      <c r="F47" s="2647"/>
      <c r="G47" s="2647"/>
      <c r="H47" s="2647"/>
      <c r="I47" s="2647"/>
      <c r="J47" s="2647"/>
      <c r="K47" s="2647"/>
      <c r="L47" s="2647"/>
      <c r="M47" s="2647"/>
      <c r="N47" s="2647"/>
      <c r="O47" s="2647"/>
      <c r="P47" s="2647"/>
      <c r="Q47" s="2648"/>
      <c r="R47" s="377"/>
      <c r="S47" s="1871"/>
      <c r="T47" s="1871"/>
      <c r="U47" s="1871"/>
      <c r="V47" s="1871"/>
      <c r="W47" s="1871"/>
      <c r="X47" s="1871"/>
      <c r="Y47" s="1871"/>
      <c r="Z47" s="1871"/>
      <c r="AA47" s="1871"/>
      <c r="AB47" s="1871"/>
      <c r="AC47" s="261"/>
      <c r="AD47" s="377"/>
      <c r="AE47" s="1871"/>
      <c r="AF47" s="1871"/>
      <c r="AG47" s="1871"/>
      <c r="AH47" s="1871"/>
      <c r="AI47" s="1871"/>
      <c r="AJ47" s="1871"/>
      <c r="AK47" s="1871"/>
      <c r="AL47" s="1871"/>
      <c r="AM47" s="1871"/>
      <c r="AN47" s="263"/>
    </row>
    <row r="48" spans="2:40" ht="3" customHeight="1">
      <c r="B48" s="142"/>
      <c r="C48" s="1427"/>
      <c r="D48" s="1428"/>
      <c r="E48" s="1428"/>
      <c r="F48" s="1428"/>
      <c r="G48" s="1428"/>
      <c r="H48" s="1428"/>
      <c r="I48" s="1428"/>
      <c r="J48" s="1428"/>
      <c r="K48" s="1428"/>
      <c r="L48" s="1428"/>
      <c r="M48" s="1428"/>
      <c r="N48" s="1428"/>
      <c r="O48" s="1436"/>
      <c r="P48" s="1436"/>
      <c r="Q48" s="1429"/>
      <c r="R48" s="1307"/>
      <c r="S48" s="624"/>
      <c r="T48" s="624"/>
      <c r="U48" s="624"/>
      <c r="V48" s="624"/>
      <c r="W48" s="624"/>
      <c r="X48" s="624"/>
      <c r="Y48" s="624"/>
      <c r="Z48" s="624"/>
      <c r="AA48" s="624"/>
      <c r="AB48" s="624"/>
      <c r="AC48" s="624"/>
      <c r="AD48" s="1869">
        <f>'GENERAL INFO'!T181</f>
        <v>0</v>
      </c>
      <c r="AE48" s="1870"/>
      <c r="AF48" s="1870"/>
      <c r="AG48" s="1870"/>
      <c r="AH48" s="1870"/>
      <c r="AI48" s="1870"/>
      <c r="AJ48" s="1870"/>
      <c r="AK48" s="1870"/>
      <c r="AL48" s="1870"/>
      <c r="AM48" s="1870"/>
      <c r="AN48" s="1356"/>
    </row>
    <row r="49" spans="2:40" ht="15" customHeight="1">
      <c r="B49" s="141" t="s">
        <v>397</v>
      </c>
      <c r="C49" s="2643" t="s">
        <v>434</v>
      </c>
      <c r="D49" s="2644"/>
      <c r="E49" s="2644"/>
      <c r="F49" s="2644"/>
      <c r="G49" s="2644"/>
      <c r="H49" s="2644"/>
      <c r="I49" s="2644"/>
      <c r="J49" s="2644"/>
      <c r="K49" s="2644"/>
      <c r="L49" s="2644"/>
      <c r="M49" s="2644"/>
      <c r="N49" s="2644"/>
      <c r="O49" s="2644"/>
      <c r="P49" s="2644"/>
      <c r="Q49" s="2645"/>
      <c r="R49" s="376">
        <f>'GENERAL INFO'!O181</f>
        <v>0</v>
      </c>
      <c r="S49" s="246"/>
      <c r="T49" s="246"/>
      <c r="U49" s="246"/>
      <c r="V49" s="246"/>
      <c r="W49" s="246"/>
      <c r="X49" s="246"/>
      <c r="Y49" s="246"/>
      <c r="Z49" s="246"/>
      <c r="AA49" s="246"/>
      <c r="AB49" s="246"/>
      <c r="AC49" s="258"/>
      <c r="AD49" s="376">
        <f>'[14]GENERAL INFO'!T182</f>
        <v>0</v>
      </c>
      <c r="AE49" s="246"/>
      <c r="AF49" s="246"/>
      <c r="AG49" s="246"/>
      <c r="AH49" s="246"/>
      <c r="AI49" s="246"/>
      <c r="AJ49" s="246"/>
      <c r="AK49" s="246"/>
      <c r="AL49" s="246"/>
      <c r="AM49" s="246"/>
      <c r="AN49" s="243"/>
    </row>
    <row r="50" spans="2:40" ht="15" customHeight="1">
      <c r="B50" s="1293"/>
      <c r="C50" s="2646"/>
      <c r="D50" s="2647"/>
      <c r="E50" s="2647"/>
      <c r="F50" s="2647"/>
      <c r="G50" s="2647"/>
      <c r="H50" s="2647"/>
      <c r="I50" s="2647"/>
      <c r="J50" s="2647"/>
      <c r="K50" s="2647"/>
      <c r="L50" s="2647"/>
      <c r="M50" s="2647"/>
      <c r="N50" s="2647"/>
      <c r="O50" s="2647"/>
      <c r="P50" s="2647"/>
      <c r="Q50" s="2648"/>
      <c r="R50" s="377"/>
      <c r="S50" s="1871"/>
      <c r="T50" s="1871"/>
      <c r="U50" s="1871"/>
      <c r="V50" s="1871"/>
      <c r="W50" s="1871"/>
      <c r="X50" s="1871"/>
      <c r="Y50" s="1871"/>
      <c r="Z50" s="1871"/>
      <c r="AA50" s="1871"/>
      <c r="AB50" s="1871"/>
      <c r="AC50" s="261"/>
      <c r="AD50" s="377"/>
      <c r="AE50" s="1871"/>
      <c r="AF50" s="1871"/>
      <c r="AG50" s="1871"/>
      <c r="AH50" s="1871"/>
      <c r="AI50" s="1871"/>
      <c r="AJ50" s="1871"/>
      <c r="AK50" s="1871"/>
      <c r="AL50" s="1871"/>
      <c r="AM50" s="1871"/>
      <c r="AN50" s="263"/>
    </row>
    <row r="51" spans="2:40" ht="3" customHeight="1">
      <c r="B51" s="142"/>
      <c r="C51" s="1427"/>
      <c r="D51" s="1428"/>
      <c r="E51" s="1428"/>
      <c r="F51" s="1428"/>
      <c r="G51" s="1428"/>
      <c r="H51" s="1428"/>
      <c r="I51" s="1428"/>
      <c r="J51" s="1428"/>
      <c r="K51" s="1428"/>
      <c r="L51" s="1428"/>
      <c r="M51" s="1428"/>
      <c r="N51" s="1428"/>
      <c r="O51" s="1436"/>
      <c r="P51" s="1436"/>
      <c r="Q51" s="1429"/>
      <c r="R51" s="1388"/>
      <c r="S51" s="1389"/>
      <c r="T51" s="1389"/>
      <c r="U51" s="1389"/>
      <c r="V51" s="1389"/>
      <c r="W51" s="1389"/>
      <c r="X51" s="1389"/>
      <c r="Y51" s="1389"/>
      <c r="Z51" s="1389"/>
      <c r="AA51" s="1389"/>
      <c r="AB51" s="1389"/>
      <c r="AC51" s="1389"/>
      <c r="AD51" s="2126"/>
      <c r="AE51" s="2127"/>
      <c r="AF51" s="2127"/>
      <c r="AG51" s="2127"/>
      <c r="AH51" s="2127"/>
      <c r="AI51" s="2127"/>
      <c r="AJ51" s="2127"/>
      <c r="AK51" s="2127"/>
      <c r="AL51" s="2127"/>
      <c r="AM51" s="2127"/>
      <c r="AN51" s="1366"/>
    </row>
    <row r="52" spans="2:40" ht="15" customHeight="1">
      <c r="B52" s="141" t="s">
        <v>398</v>
      </c>
      <c r="C52" s="2624" t="s">
        <v>435</v>
      </c>
      <c r="D52" s="1322"/>
      <c r="E52" s="1322"/>
      <c r="F52" s="1322"/>
      <c r="G52" s="1322"/>
      <c r="H52" s="1322"/>
      <c r="I52" s="1322"/>
      <c r="J52" s="1322"/>
      <c r="K52" s="1322"/>
      <c r="L52" s="1322"/>
      <c r="M52" s="1322"/>
      <c r="N52" s="1322"/>
      <c r="O52" s="1322"/>
      <c r="P52" s="1322"/>
      <c r="Q52" s="1323"/>
      <c r="R52" s="2128"/>
      <c r="S52" s="2129"/>
      <c r="T52" s="2129"/>
      <c r="U52" s="2129"/>
      <c r="V52" s="2129"/>
      <c r="W52" s="2129"/>
      <c r="X52" s="2129"/>
      <c r="Y52" s="2129"/>
      <c r="Z52" s="2129"/>
      <c r="AA52" s="2129"/>
      <c r="AB52" s="2129"/>
      <c r="AC52" s="579"/>
      <c r="AD52" s="2128"/>
      <c r="AE52" s="2129"/>
      <c r="AF52" s="2129"/>
      <c r="AG52" s="2129"/>
      <c r="AH52" s="2129"/>
      <c r="AI52" s="2129"/>
      <c r="AJ52" s="2129"/>
      <c r="AK52" s="2129"/>
      <c r="AL52" s="2129"/>
      <c r="AM52" s="2129"/>
      <c r="AN52" s="580"/>
    </row>
    <row r="53" spans="2:40" ht="7.5" customHeight="1">
      <c r="B53" s="1293"/>
      <c r="C53" s="2625"/>
      <c r="D53" s="2626"/>
      <c r="E53" s="2626"/>
      <c r="F53" s="2626"/>
      <c r="G53" s="2626"/>
      <c r="H53" s="2626"/>
      <c r="I53" s="2626"/>
      <c r="J53" s="2626"/>
      <c r="K53" s="2626"/>
      <c r="L53" s="2626"/>
      <c r="M53" s="2626"/>
      <c r="N53" s="2626"/>
      <c r="O53" s="2626"/>
      <c r="P53" s="2626"/>
      <c r="Q53" s="2627"/>
      <c r="R53" s="2130"/>
      <c r="S53" s="2131"/>
      <c r="T53" s="2131"/>
      <c r="U53" s="2131"/>
      <c r="V53" s="2131"/>
      <c r="W53" s="2131"/>
      <c r="X53" s="2131"/>
      <c r="Y53" s="2131"/>
      <c r="Z53" s="2131"/>
      <c r="AA53" s="2131"/>
      <c r="AB53" s="2131"/>
      <c r="AC53" s="1390"/>
      <c r="AD53" s="2130"/>
      <c r="AE53" s="2131"/>
      <c r="AF53" s="2131"/>
      <c r="AG53" s="2131"/>
      <c r="AH53" s="2131"/>
      <c r="AI53" s="2131"/>
      <c r="AJ53" s="2131"/>
      <c r="AK53" s="2131"/>
      <c r="AL53" s="2131"/>
      <c r="AM53" s="2131"/>
      <c r="AN53" s="1368"/>
    </row>
    <row r="54" spans="2:40" ht="3" customHeight="1">
      <c r="B54" s="142"/>
      <c r="C54" s="1427"/>
      <c r="D54" s="1428"/>
      <c r="E54" s="1428"/>
      <c r="F54" s="1428"/>
      <c r="G54" s="1428"/>
      <c r="H54" s="1428"/>
      <c r="I54" s="1428"/>
      <c r="J54" s="1428"/>
      <c r="K54" s="1428"/>
      <c r="L54" s="1428"/>
      <c r="M54" s="1428"/>
      <c r="N54" s="1428"/>
      <c r="O54" s="1436"/>
      <c r="P54" s="1436"/>
      <c r="Q54" s="1429"/>
      <c r="R54" s="1307"/>
      <c r="S54" s="624"/>
      <c r="T54" s="624"/>
      <c r="U54" s="624"/>
      <c r="V54" s="624"/>
      <c r="W54" s="624"/>
      <c r="X54" s="624"/>
      <c r="Y54" s="624"/>
      <c r="Z54" s="624"/>
      <c r="AA54" s="624"/>
      <c r="AB54" s="624"/>
      <c r="AC54" s="624"/>
      <c r="AD54" s="1869">
        <f>'GENERAL INFO'!T183</f>
        <v>0</v>
      </c>
      <c r="AE54" s="1870"/>
      <c r="AF54" s="1870"/>
      <c r="AG54" s="1870"/>
      <c r="AH54" s="1870"/>
      <c r="AI54" s="1870"/>
      <c r="AJ54" s="1870"/>
      <c r="AK54" s="1870"/>
      <c r="AL54" s="1870"/>
      <c r="AM54" s="1870"/>
      <c r="AN54" s="1356"/>
    </row>
    <row r="55" spans="2:40" ht="15" customHeight="1">
      <c r="B55" s="141" t="s">
        <v>399</v>
      </c>
      <c r="C55" s="2624" t="s">
        <v>144</v>
      </c>
      <c r="D55" s="1322"/>
      <c r="E55" s="1322"/>
      <c r="F55" s="1322"/>
      <c r="G55" s="1322"/>
      <c r="H55" s="1322"/>
      <c r="I55" s="1322"/>
      <c r="J55" s="1322"/>
      <c r="K55" s="1322"/>
      <c r="L55" s="1322"/>
      <c r="M55" s="1322"/>
      <c r="N55" s="1322"/>
      <c r="O55" s="1322"/>
      <c r="P55" s="1322"/>
      <c r="Q55" s="1323"/>
      <c r="R55" s="376">
        <f>'GENERAL INFO'!O183</f>
        <v>0</v>
      </c>
      <c r="S55" s="246"/>
      <c r="T55" s="246"/>
      <c r="U55" s="246"/>
      <c r="V55" s="246"/>
      <c r="W55" s="246"/>
      <c r="X55" s="246"/>
      <c r="Y55" s="246"/>
      <c r="Z55" s="246"/>
      <c r="AA55" s="246"/>
      <c r="AB55" s="246"/>
      <c r="AC55" s="258"/>
      <c r="AD55" s="376">
        <f>'[14]GENERAL INFO'!T184</f>
        <v>0</v>
      </c>
      <c r="AE55" s="246"/>
      <c r="AF55" s="246"/>
      <c r="AG55" s="246"/>
      <c r="AH55" s="246"/>
      <c r="AI55" s="246"/>
      <c r="AJ55" s="246"/>
      <c r="AK55" s="246"/>
      <c r="AL55" s="246"/>
      <c r="AM55" s="246"/>
      <c r="AN55" s="243"/>
    </row>
    <row r="56" spans="2:40" ht="9" customHeight="1">
      <c r="B56" s="1293"/>
      <c r="C56" s="2625"/>
      <c r="D56" s="2626"/>
      <c r="E56" s="2626"/>
      <c r="F56" s="2626"/>
      <c r="G56" s="2626"/>
      <c r="H56" s="2626"/>
      <c r="I56" s="2626"/>
      <c r="J56" s="2626"/>
      <c r="K56" s="2626"/>
      <c r="L56" s="2626"/>
      <c r="M56" s="2626"/>
      <c r="N56" s="2626"/>
      <c r="O56" s="2626"/>
      <c r="P56" s="2626"/>
      <c r="Q56" s="2627"/>
      <c r="R56" s="377"/>
      <c r="S56" s="1871"/>
      <c r="T56" s="1871"/>
      <c r="U56" s="1871"/>
      <c r="V56" s="1871"/>
      <c r="W56" s="1871"/>
      <c r="X56" s="1871"/>
      <c r="Y56" s="1871"/>
      <c r="Z56" s="1871"/>
      <c r="AA56" s="1871"/>
      <c r="AB56" s="1871"/>
      <c r="AC56" s="261"/>
      <c r="AD56" s="377"/>
      <c r="AE56" s="1871"/>
      <c r="AF56" s="1871"/>
      <c r="AG56" s="1871"/>
      <c r="AH56" s="1871"/>
      <c r="AI56" s="1871"/>
      <c r="AJ56" s="1871"/>
      <c r="AK56" s="1871"/>
      <c r="AL56" s="1871"/>
      <c r="AM56" s="1871"/>
      <c r="AN56" s="263"/>
    </row>
    <row r="57" spans="2:40" ht="3" customHeight="1">
      <c r="B57" s="307"/>
      <c r="C57" s="221"/>
      <c r="D57" s="112"/>
      <c r="E57" s="112"/>
      <c r="F57" s="112"/>
      <c r="G57" s="112"/>
      <c r="H57" s="112"/>
      <c r="I57" s="112"/>
      <c r="J57" s="219"/>
      <c r="K57" s="219"/>
      <c r="L57" s="219"/>
      <c r="M57" s="219"/>
      <c r="N57" s="219"/>
      <c r="O57" s="219"/>
      <c r="P57" s="219"/>
      <c r="Q57" s="220"/>
      <c r="R57" s="67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141"/>
      <c r="AE57" s="66"/>
      <c r="AF57" s="66"/>
      <c r="AG57" s="66"/>
      <c r="AH57" s="66"/>
      <c r="AI57" s="66"/>
      <c r="AJ57" s="66"/>
      <c r="AK57" s="66"/>
      <c r="AL57" s="66"/>
      <c r="AM57" s="66"/>
      <c r="AN57" s="144"/>
    </row>
    <row r="58" spans="2:40" ht="15" customHeight="1">
      <c r="B58" s="1294" t="s">
        <v>400</v>
      </c>
      <c r="C58" s="2540" t="s">
        <v>436</v>
      </c>
      <c r="D58" s="298"/>
      <c r="E58" s="298"/>
      <c r="F58" s="298"/>
      <c r="G58" s="298"/>
      <c r="H58" s="298"/>
      <c r="I58" s="298"/>
      <c r="J58" s="298"/>
      <c r="K58" s="298"/>
      <c r="L58" s="298"/>
      <c r="M58" s="298"/>
      <c r="N58" s="298"/>
      <c r="O58" s="298"/>
      <c r="P58" s="298"/>
      <c r="Q58" s="1398"/>
      <c r="R58" s="376">
        <f>'GENERAL INFO'!O184</f>
        <v>0</v>
      </c>
      <c r="S58" s="246"/>
      <c r="T58" s="246"/>
      <c r="U58" s="246"/>
      <c r="V58" s="246"/>
      <c r="W58" s="246"/>
      <c r="X58" s="246"/>
      <c r="Y58" s="246"/>
      <c r="Z58" s="246"/>
      <c r="AA58" s="246"/>
      <c r="AB58" s="246"/>
      <c r="AC58" s="258"/>
      <c r="AD58" s="376">
        <f>'GENERAL INFO'!T184</f>
        <v>0</v>
      </c>
      <c r="AE58" s="246"/>
      <c r="AF58" s="246"/>
      <c r="AG58" s="246"/>
      <c r="AH58" s="246"/>
      <c r="AI58" s="246"/>
      <c r="AJ58" s="246"/>
      <c r="AK58" s="246"/>
      <c r="AL58" s="246"/>
      <c r="AM58" s="246"/>
      <c r="AN58" s="243"/>
    </row>
    <row r="59" spans="2:40" ht="9" customHeight="1">
      <c r="B59" s="1900"/>
      <c r="C59" s="2541"/>
      <c r="D59" s="2542"/>
      <c r="E59" s="2542"/>
      <c r="F59" s="2542"/>
      <c r="G59" s="2542"/>
      <c r="H59" s="2542"/>
      <c r="I59" s="2542"/>
      <c r="J59" s="2542"/>
      <c r="K59" s="2542"/>
      <c r="L59" s="2542"/>
      <c r="M59" s="2542"/>
      <c r="N59" s="2542"/>
      <c r="O59" s="2542"/>
      <c r="P59" s="2542"/>
      <c r="Q59" s="2543"/>
      <c r="R59" s="377"/>
      <c r="S59" s="1871"/>
      <c r="T59" s="1871"/>
      <c r="U59" s="1871"/>
      <c r="V59" s="1871"/>
      <c r="W59" s="1871"/>
      <c r="X59" s="1871"/>
      <c r="Y59" s="1871"/>
      <c r="Z59" s="1871"/>
      <c r="AA59" s="1871"/>
      <c r="AB59" s="1871"/>
      <c r="AC59" s="261"/>
      <c r="AD59" s="377"/>
      <c r="AE59" s="1871"/>
      <c r="AF59" s="1871"/>
      <c r="AG59" s="1871"/>
      <c r="AH59" s="1871"/>
      <c r="AI59" s="1871"/>
      <c r="AJ59" s="1871"/>
      <c r="AK59" s="1871"/>
      <c r="AL59" s="1871"/>
      <c r="AM59" s="1871"/>
      <c r="AN59" s="263"/>
    </row>
    <row r="60" spans="2:40" ht="3" customHeight="1">
      <c r="B60" s="307"/>
      <c r="C60" s="218"/>
      <c r="D60" s="219"/>
      <c r="E60" s="219"/>
      <c r="F60" s="219"/>
      <c r="G60" s="219"/>
      <c r="H60" s="219"/>
      <c r="I60" s="219"/>
      <c r="J60" s="219"/>
      <c r="K60" s="219"/>
      <c r="L60" s="219"/>
      <c r="M60" s="219"/>
      <c r="N60" s="219"/>
      <c r="O60" s="219"/>
      <c r="P60" s="219"/>
      <c r="Q60" s="220"/>
      <c r="R60" s="267"/>
      <c r="S60" s="268"/>
      <c r="T60" s="268"/>
      <c r="U60" s="268"/>
      <c r="V60" s="268"/>
      <c r="W60" s="268"/>
      <c r="X60" s="268"/>
      <c r="Y60" s="268"/>
      <c r="Z60" s="268"/>
      <c r="AA60" s="268"/>
      <c r="AB60" s="268"/>
      <c r="AC60" s="268"/>
      <c r="AD60" s="269"/>
      <c r="AE60" s="66"/>
      <c r="AF60" s="66"/>
      <c r="AG60" s="66"/>
      <c r="AH60" s="66"/>
      <c r="AI60" s="66"/>
      <c r="AJ60" s="66"/>
      <c r="AK60" s="66"/>
      <c r="AL60" s="66"/>
      <c r="AM60" s="66"/>
      <c r="AN60" s="144"/>
    </row>
    <row r="61" spans="2:40" ht="15" customHeight="1">
      <c r="B61" s="141" t="s">
        <v>401</v>
      </c>
      <c r="C61" s="175" t="s">
        <v>179</v>
      </c>
      <c r="D61" s="219"/>
      <c r="E61" s="219"/>
      <c r="F61" s="219"/>
      <c r="G61" s="219"/>
      <c r="H61" s="219"/>
      <c r="I61" s="219"/>
      <c r="J61" s="219"/>
      <c r="K61" s="219"/>
      <c r="L61" s="219"/>
      <c r="M61" s="219"/>
      <c r="N61" s="219"/>
      <c r="O61" s="219"/>
      <c r="P61" s="219"/>
      <c r="Q61" s="220"/>
      <c r="R61" s="376">
        <f>'GENERAL INFO'!O185</f>
        <v>0</v>
      </c>
      <c r="S61" s="246"/>
      <c r="T61" s="246"/>
      <c r="U61" s="246"/>
      <c r="V61" s="246"/>
      <c r="W61" s="246"/>
      <c r="X61" s="246"/>
      <c r="Y61" s="246"/>
      <c r="Z61" s="246"/>
      <c r="AA61" s="246"/>
      <c r="AB61" s="246"/>
      <c r="AC61" s="258"/>
      <c r="AD61" s="376">
        <f>'GENERAL INFO'!T185</f>
        <v>0</v>
      </c>
      <c r="AE61" s="246"/>
      <c r="AF61" s="246"/>
      <c r="AG61" s="246"/>
      <c r="AH61" s="246"/>
      <c r="AI61" s="246"/>
      <c r="AJ61" s="246"/>
      <c r="AK61" s="246"/>
      <c r="AL61" s="246"/>
      <c r="AM61" s="246"/>
      <c r="AN61" s="243"/>
    </row>
    <row r="62" spans="2:40" ht="15" customHeight="1">
      <c r="B62" s="141"/>
      <c r="C62" s="175" t="s">
        <v>131</v>
      </c>
      <c r="D62" s="219"/>
      <c r="E62" s="219"/>
      <c r="F62" s="219"/>
      <c r="G62" s="219"/>
      <c r="H62" s="2003"/>
      <c r="I62" s="2003"/>
      <c r="J62" s="2003"/>
      <c r="K62" s="2003"/>
      <c r="L62" s="2003"/>
      <c r="M62" s="2003"/>
      <c r="N62" s="2003"/>
      <c r="O62" s="2003"/>
      <c r="P62" s="2003"/>
      <c r="Q62" s="2004"/>
      <c r="R62" s="377"/>
      <c r="S62" s="1871"/>
      <c r="T62" s="1871"/>
      <c r="U62" s="1871"/>
      <c r="V62" s="1871"/>
      <c r="W62" s="1871"/>
      <c r="X62" s="1871"/>
      <c r="Y62" s="1871"/>
      <c r="Z62" s="1871"/>
      <c r="AA62" s="1871"/>
      <c r="AB62" s="1871"/>
      <c r="AC62" s="261"/>
      <c r="AD62" s="377"/>
      <c r="AE62" s="1871"/>
      <c r="AF62" s="1871"/>
      <c r="AG62" s="1871"/>
      <c r="AH62" s="1871"/>
      <c r="AI62" s="1871"/>
      <c r="AJ62" s="1871"/>
      <c r="AK62" s="1871"/>
      <c r="AL62" s="1871"/>
      <c r="AM62" s="1871"/>
      <c r="AN62" s="263"/>
    </row>
    <row r="63" spans="2:40" ht="3" customHeight="1">
      <c r="B63" s="178"/>
      <c r="C63" s="142" t="s">
        <v>109</v>
      </c>
      <c r="D63" s="1307"/>
      <c r="E63" s="1307"/>
      <c r="F63" s="1307"/>
      <c r="G63" s="1307"/>
      <c r="H63" s="1307"/>
      <c r="I63" s="1307"/>
      <c r="J63" s="1307"/>
      <c r="K63" s="1307"/>
      <c r="L63" s="1307"/>
      <c r="M63" s="1307"/>
      <c r="N63" s="1307"/>
      <c r="O63" s="1307"/>
      <c r="P63" s="1307"/>
      <c r="Q63" s="1895"/>
      <c r="R63" s="581"/>
      <c r="S63" s="582"/>
      <c r="T63" s="582"/>
      <c r="U63" s="582"/>
      <c r="V63" s="582"/>
      <c r="W63" s="582"/>
      <c r="X63" s="582"/>
      <c r="Y63" s="582"/>
      <c r="Z63" s="582"/>
      <c r="AA63" s="582"/>
      <c r="AB63" s="142" t="s">
        <v>108</v>
      </c>
      <c r="AC63" s="1895"/>
      <c r="AD63" s="1869">
        <f>AD22+AD25+AD27+AD30+AD33+AD37+AD40+AD43+AD45+AD48+AD54+AD58+AD61</f>
        <v>0</v>
      </c>
      <c r="AE63" s="1870"/>
      <c r="AF63" s="1870"/>
      <c r="AG63" s="1870"/>
      <c r="AH63" s="1870"/>
      <c r="AI63" s="1870"/>
      <c r="AJ63" s="1870"/>
      <c r="AK63" s="1870"/>
      <c r="AL63" s="1870"/>
      <c r="AM63" s="1870"/>
      <c r="AN63" s="256"/>
    </row>
    <row r="64" spans="2:40" ht="14.25" customHeight="1">
      <c r="B64" s="174"/>
      <c r="C64" s="141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297"/>
      <c r="R64" s="583"/>
      <c r="S64" s="584"/>
      <c r="T64" s="585"/>
      <c r="U64" s="585"/>
      <c r="V64" s="585"/>
      <c r="W64" s="585"/>
      <c r="X64" s="585"/>
      <c r="Y64" s="585"/>
      <c r="Z64" s="585"/>
      <c r="AA64" s="585"/>
      <c r="AB64" s="141"/>
      <c r="AC64" s="297"/>
      <c r="AD64" s="376"/>
      <c r="AE64" s="246"/>
      <c r="AF64" s="246"/>
      <c r="AG64" s="246"/>
      <c r="AH64" s="246"/>
      <c r="AI64" s="246"/>
      <c r="AJ64" s="246"/>
      <c r="AK64" s="246"/>
      <c r="AL64" s="246"/>
      <c r="AM64" s="246"/>
      <c r="AN64" s="243"/>
    </row>
    <row r="65" spans="2:40" ht="3" customHeight="1">
      <c r="B65" s="171"/>
      <c r="C65" s="1293"/>
      <c r="D65" s="1901"/>
      <c r="E65" s="1901"/>
      <c r="F65" s="1901"/>
      <c r="G65" s="1901"/>
      <c r="H65" s="1901"/>
      <c r="I65" s="1901"/>
      <c r="J65" s="1901"/>
      <c r="K65" s="1901"/>
      <c r="L65" s="1901"/>
      <c r="M65" s="1901"/>
      <c r="N65" s="1901"/>
      <c r="O65" s="1901"/>
      <c r="P65" s="1901"/>
      <c r="Q65" s="1896"/>
      <c r="R65" s="586"/>
      <c r="S65" s="586"/>
      <c r="T65" s="587"/>
      <c r="U65" s="587"/>
      <c r="V65" s="587"/>
      <c r="W65" s="587"/>
      <c r="X65" s="587"/>
      <c r="Y65" s="587"/>
      <c r="Z65" s="587"/>
      <c r="AA65" s="587"/>
      <c r="AB65" s="1293"/>
      <c r="AC65" s="1896"/>
      <c r="AD65" s="377"/>
      <c r="AE65" s="1871"/>
      <c r="AF65" s="1871"/>
      <c r="AG65" s="1871"/>
      <c r="AH65" s="1871"/>
      <c r="AI65" s="1871"/>
      <c r="AJ65" s="1871"/>
      <c r="AK65" s="1871"/>
      <c r="AL65" s="1871"/>
      <c r="AM65" s="1871"/>
      <c r="AN65" s="263"/>
    </row>
    <row r="66" spans="2:40" ht="8.15" customHeight="1">
      <c r="B66" s="164"/>
      <c r="C66" s="164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164"/>
      <c r="Z66" s="164"/>
      <c r="AA66" s="164"/>
      <c r="AB66" s="164"/>
      <c r="AC66" s="164"/>
      <c r="AD66" s="164"/>
      <c r="AE66" s="164"/>
      <c r="AF66" s="164"/>
      <c r="AG66" s="164"/>
      <c r="AH66" s="164"/>
      <c r="AI66" s="164"/>
      <c r="AJ66" s="164"/>
      <c r="AK66" s="164"/>
      <c r="AL66" s="164"/>
      <c r="AM66" s="164"/>
      <c r="AN66" s="164"/>
    </row>
    <row r="67" spans="2:40" ht="15" customHeight="1">
      <c r="B67" s="71" t="s">
        <v>46</v>
      </c>
      <c r="C67" s="71"/>
      <c r="D67" s="71"/>
      <c r="E67" s="15"/>
      <c r="F67" s="71" t="s">
        <v>26</v>
      </c>
      <c r="G67" s="71" t="s">
        <v>428</v>
      </c>
      <c r="H67" s="71"/>
      <c r="I67" s="71"/>
      <c r="J67" s="71"/>
      <c r="K67" s="71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</row>
    <row r="68" spans="2:40" ht="4.5" customHeight="1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  <row r="69" spans="2:40" ht="12.75" customHeight="1">
      <c r="B69" s="2591" t="s">
        <v>76</v>
      </c>
      <c r="C69" s="1311" t="s">
        <v>883</v>
      </c>
      <c r="D69" s="2070"/>
      <c r="E69" s="142" t="s">
        <v>884</v>
      </c>
      <c r="F69" s="1307"/>
      <c r="G69" s="1307"/>
      <c r="H69" s="1307"/>
      <c r="I69" s="1307"/>
      <c r="J69" s="1307"/>
      <c r="K69" s="1307"/>
      <c r="L69" s="1307"/>
      <c r="M69" s="1895"/>
      <c r="N69" s="149" t="s">
        <v>71</v>
      </c>
      <c r="O69" s="149"/>
      <c r="P69" s="149"/>
      <c r="Q69" s="149"/>
      <c r="R69" s="146" t="s">
        <v>69</v>
      </c>
      <c r="S69" s="148"/>
      <c r="T69" s="148"/>
      <c r="U69" s="148"/>
      <c r="V69" s="148"/>
      <c r="W69" s="148"/>
      <c r="X69" s="148"/>
      <c r="Y69" s="148"/>
      <c r="Z69" s="148"/>
      <c r="AA69" s="148"/>
      <c r="AB69" s="148"/>
      <c r="AC69" s="148"/>
      <c r="AD69" s="148"/>
      <c r="AE69" s="148"/>
      <c r="AF69" s="2550"/>
      <c r="AG69" s="1307" t="s">
        <v>73</v>
      </c>
      <c r="AH69" s="1307"/>
      <c r="AI69" s="1307"/>
      <c r="AJ69" s="1307"/>
      <c r="AK69" s="1307"/>
      <c r="AL69" s="1307"/>
      <c r="AM69" s="1307"/>
      <c r="AN69" s="1895"/>
    </row>
    <row r="70" spans="2:40" ht="12" customHeight="1">
      <c r="B70" s="2540"/>
      <c r="C70" s="328"/>
      <c r="D70" s="2072"/>
      <c r="E70" s="141"/>
      <c r="F70" s="67"/>
      <c r="G70" s="67"/>
      <c r="H70" s="67"/>
      <c r="I70" s="67"/>
      <c r="J70" s="67"/>
      <c r="K70" s="67"/>
      <c r="L70" s="67"/>
      <c r="M70" s="297"/>
      <c r="N70" s="79" t="s">
        <v>72</v>
      </c>
      <c r="O70" s="79"/>
      <c r="P70" s="79"/>
      <c r="Q70" s="79"/>
      <c r="R70" s="154" t="s">
        <v>70</v>
      </c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2546"/>
      <c r="AG70" s="67"/>
      <c r="AH70" s="67"/>
      <c r="AI70" s="67"/>
      <c r="AJ70" s="67"/>
      <c r="AK70" s="67"/>
      <c r="AL70" s="67"/>
      <c r="AM70" s="67"/>
      <c r="AN70" s="297"/>
    </row>
    <row r="71" spans="2:40" ht="3" customHeight="1">
      <c r="B71" s="2540"/>
      <c r="C71" s="2073"/>
      <c r="D71" s="2075"/>
      <c r="E71" s="1293"/>
      <c r="F71" s="1901"/>
      <c r="G71" s="1901"/>
      <c r="H71" s="1901"/>
      <c r="I71" s="1901"/>
      <c r="J71" s="1901"/>
      <c r="K71" s="1901"/>
      <c r="L71" s="1901"/>
      <c r="M71" s="1896"/>
      <c r="N71" s="79"/>
      <c r="O71" s="79"/>
      <c r="P71" s="79"/>
      <c r="Q71" s="79"/>
      <c r="R71" s="153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2546"/>
      <c r="AG71" s="66"/>
      <c r="AH71" s="66"/>
      <c r="AI71" s="66"/>
      <c r="AJ71" s="66"/>
      <c r="AK71" s="66"/>
      <c r="AL71" s="66"/>
      <c r="AM71" s="66"/>
      <c r="AN71" s="151"/>
    </row>
    <row r="72" spans="2:40" s="68" customFormat="1" ht="11.25" customHeight="1">
      <c r="B72" s="145" t="s">
        <v>65</v>
      </c>
      <c r="C72" s="145" t="s">
        <v>64</v>
      </c>
      <c r="D72" s="1862"/>
      <c r="E72" s="145" t="s">
        <v>66</v>
      </c>
      <c r="F72" s="1861"/>
      <c r="G72" s="1861"/>
      <c r="H72" s="1861"/>
      <c r="I72" s="1861"/>
      <c r="J72" s="1861"/>
      <c r="K72" s="1861"/>
      <c r="L72" s="1861"/>
      <c r="M72" s="1862"/>
      <c r="N72" s="1861" t="s">
        <v>67</v>
      </c>
      <c r="O72" s="1861"/>
      <c r="P72" s="1861"/>
      <c r="Q72" s="1861"/>
      <c r="R72" s="145" t="s">
        <v>68</v>
      </c>
      <c r="S72" s="1861"/>
      <c r="T72" s="1861"/>
      <c r="U72" s="1861"/>
      <c r="V72" s="1861"/>
      <c r="W72" s="1861"/>
      <c r="X72" s="1861"/>
      <c r="Y72" s="1861"/>
      <c r="Z72" s="1861"/>
      <c r="AA72" s="1861"/>
      <c r="AB72" s="1861"/>
      <c r="AC72" s="1861"/>
      <c r="AD72" s="1861"/>
      <c r="AE72" s="1861"/>
      <c r="AF72" s="1862"/>
      <c r="AG72" s="1861" t="s">
        <v>100</v>
      </c>
      <c r="AH72" s="1861"/>
      <c r="AI72" s="1861"/>
      <c r="AJ72" s="1861"/>
      <c r="AK72" s="1861"/>
      <c r="AL72" s="1861"/>
      <c r="AM72" s="1861"/>
      <c r="AN72" s="1862"/>
    </row>
    <row r="73" spans="2:40" ht="18" customHeight="1">
      <c r="B73" s="1304" t="s">
        <v>386</v>
      </c>
      <c r="C73" s="1869" t="str">
        <f ca="1">'LAMPIRAN'!B88</f>
        <v/>
      </c>
      <c r="D73" s="2117"/>
      <c r="E73" s="2562" t="str">
        <f ca="1">'LAMPIRAN'!D88</f>
        <v/>
      </c>
      <c r="F73" s="2563"/>
      <c r="G73" s="2563"/>
      <c r="H73" s="2563"/>
      <c r="I73" s="2563"/>
      <c r="J73" s="2563"/>
      <c r="K73" s="2563"/>
      <c r="L73" s="2563"/>
      <c r="M73" s="2564"/>
      <c r="N73" s="2009" t="str">
        <f ca="1">'LAMPIRAN'!O88</f>
        <v/>
      </c>
      <c r="O73" s="2010"/>
      <c r="P73" s="2010"/>
      <c r="Q73" s="2011"/>
      <c r="R73" s="2630" t="str">
        <f ca="1">'LAMPIRAN'!S88</f>
        <v/>
      </c>
      <c r="S73" s="2631"/>
      <c r="T73" s="2631"/>
      <c r="U73" s="2631"/>
      <c r="V73" s="2631"/>
      <c r="W73" s="2631"/>
      <c r="X73" s="2631"/>
      <c r="Y73" s="2631"/>
      <c r="Z73" s="2631"/>
      <c r="AA73" s="2631"/>
      <c r="AB73" s="2631"/>
      <c r="AC73" s="2631"/>
      <c r="AD73" s="2631"/>
      <c r="AE73" s="2631"/>
      <c r="AF73" s="279"/>
      <c r="AG73" s="2653" t="str">
        <f>IF(dateofdeparture&gt;0,"Saya telah meninggalkan","")</f>
        <v/>
      </c>
      <c r="AH73" s="2654"/>
      <c r="AI73" s="2654"/>
      <c r="AJ73" s="2654"/>
      <c r="AK73" s="2654"/>
      <c r="AL73" s="2654"/>
      <c r="AM73" s="2654"/>
      <c r="AN73" s="2655"/>
    </row>
    <row r="74" spans="2:40" ht="18" customHeight="1">
      <c r="B74" s="1294"/>
      <c r="C74" s="376"/>
      <c r="D74" s="1943"/>
      <c r="E74" s="2603"/>
      <c r="F74" s="774"/>
      <c r="G74" s="774"/>
      <c r="H74" s="774"/>
      <c r="I74" s="774"/>
      <c r="J74" s="774"/>
      <c r="K74" s="774"/>
      <c r="L74" s="774"/>
      <c r="M74" s="775"/>
      <c r="N74" s="2012"/>
      <c r="O74" s="2013"/>
      <c r="P74" s="2013"/>
      <c r="Q74" s="2014"/>
      <c r="R74" s="788"/>
      <c r="S74" s="789"/>
      <c r="T74" s="789"/>
      <c r="U74" s="789"/>
      <c r="V74" s="789"/>
      <c r="W74" s="789"/>
      <c r="X74" s="789"/>
      <c r="Y74" s="789"/>
      <c r="Z74" s="789"/>
      <c r="AA74" s="789"/>
      <c r="AB74" s="789"/>
      <c r="AC74" s="789"/>
      <c r="AD74" s="789"/>
      <c r="AE74" s="789"/>
      <c r="AF74" s="248"/>
      <c r="AG74" s="2656"/>
      <c r="AH74" s="2657"/>
      <c r="AI74" s="2657"/>
      <c r="AJ74" s="2657"/>
      <c r="AK74" s="2657"/>
      <c r="AL74" s="2657"/>
      <c r="AM74" s="2657"/>
      <c r="AN74" s="2658"/>
    </row>
    <row r="75" spans="2:40" ht="3" customHeight="1">
      <c r="B75" s="141"/>
      <c r="C75" s="376"/>
      <c r="D75" s="258"/>
      <c r="E75" s="2603"/>
      <c r="F75" s="774"/>
      <c r="G75" s="774"/>
      <c r="H75" s="774"/>
      <c r="I75" s="774"/>
      <c r="J75" s="774"/>
      <c r="K75" s="774"/>
      <c r="L75" s="774"/>
      <c r="M75" s="775"/>
      <c r="N75" s="1254"/>
      <c r="O75" s="1254"/>
      <c r="P75" s="1254"/>
      <c r="Q75" s="1254"/>
      <c r="R75" s="788"/>
      <c r="S75" s="789"/>
      <c r="T75" s="789"/>
      <c r="U75" s="789"/>
      <c r="V75" s="789"/>
      <c r="W75" s="789"/>
      <c r="X75" s="789"/>
      <c r="Y75" s="789"/>
      <c r="Z75" s="789"/>
      <c r="AA75" s="789"/>
      <c r="AB75" s="789"/>
      <c r="AC75" s="789"/>
      <c r="AD75" s="789"/>
      <c r="AE75" s="789"/>
      <c r="AF75" s="248"/>
      <c r="AG75" s="237"/>
      <c r="AH75" s="242"/>
      <c r="AI75" s="242"/>
      <c r="AJ75" s="242"/>
      <c r="AK75" s="242"/>
      <c r="AL75" s="242"/>
      <c r="AM75" s="242"/>
      <c r="AN75" s="243"/>
    </row>
    <row r="76" spans="2:40" ht="18" customHeight="1">
      <c r="B76" s="1304" t="s">
        <v>387</v>
      </c>
      <c r="C76" s="1869" t="str">
        <f ca="1">'LAMPIRAN'!B89</f>
        <v/>
      </c>
      <c r="D76" s="2117"/>
      <c r="E76" s="2562" t="str">
        <f ca="1">'LAMPIRAN'!D89</f>
        <v/>
      </c>
      <c r="F76" s="2563"/>
      <c r="G76" s="2563"/>
      <c r="H76" s="2563"/>
      <c r="I76" s="2563"/>
      <c r="J76" s="2563"/>
      <c r="K76" s="2563"/>
      <c r="L76" s="2563"/>
      <c r="M76" s="2564"/>
      <c r="N76" s="2025" t="str">
        <f ca="1">'LAMPIRAN'!O89</f>
        <v/>
      </c>
      <c r="O76" s="2026"/>
      <c r="P76" s="2026"/>
      <c r="Q76" s="2027"/>
      <c r="R76" s="2630" t="str">
        <f ca="1">'LAMPIRAN'!S89</f>
        <v/>
      </c>
      <c r="S76" s="2631"/>
      <c r="T76" s="2631"/>
      <c r="U76" s="2631"/>
      <c r="V76" s="2631"/>
      <c r="W76" s="2631"/>
      <c r="X76" s="2631"/>
      <c r="Y76" s="2631"/>
      <c r="Z76" s="2631"/>
      <c r="AA76" s="2631"/>
      <c r="AB76" s="2631"/>
      <c r="AC76" s="2631"/>
      <c r="AD76" s="2631"/>
      <c r="AE76" s="2631"/>
      <c r="AF76" s="279"/>
      <c r="AG76" s="2653" t="str">
        <f>IF(dateofdeparture&gt;0,"Indonesia. Fotokopi EPO","")</f>
        <v/>
      </c>
      <c r="AH76" s="2654"/>
      <c r="AI76" s="2654"/>
      <c r="AJ76" s="2654"/>
      <c r="AK76" s="2654"/>
      <c r="AL76" s="2654"/>
      <c r="AM76" s="2654"/>
      <c r="AN76" s="2655"/>
    </row>
    <row r="77" spans="2:40" ht="18" customHeight="1">
      <c r="B77" s="1294"/>
      <c r="C77" s="376"/>
      <c r="D77" s="1943"/>
      <c r="E77" s="2603"/>
      <c r="F77" s="774"/>
      <c r="G77" s="774"/>
      <c r="H77" s="774"/>
      <c r="I77" s="774"/>
      <c r="J77" s="774"/>
      <c r="K77" s="774"/>
      <c r="L77" s="774"/>
      <c r="M77" s="775"/>
      <c r="N77" s="2028"/>
      <c r="O77" s="1254"/>
      <c r="P77" s="1254"/>
      <c r="Q77" s="2029"/>
      <c r="R77" s="788"/>
      <c r="S77" s="789"/>
      <c r="T77" s="789"/>
      <c r="U77" s="789"/>
      <c r="V77" s="789"/>
      <c r="W77" s="789"/>
      <c r="X77" s="789"/>
      <c r="Y77" s="789"/>
      <c r="Z77" s="789"/>
      <c r="AA77" s="789"/>
      <c r="AB77" s="789"/>
      <c r="AC77" s="789"/>
      <c r="AD77" s="789"/>
      <c r="AE77" s="789"/>
      <c r="AF77" s="248"/>
      <c r="AG77" s="2656"/>
      <c r="AH77" s="2657"/>
      <c r="AI77" s="2657"/>
      <c r="AJ77" s="2657"/>
      <c r="AK77" s="2657"/>
      <c r="AL77" s="2657"/>
      <c r="AM77" s="2657"/>
      <c r="AN77" s="2658"/>
    </row>
    <row r="78" spans="2:40" ht="3" customHeight="1">
      <c r="B78" s="141"/>
      <c r="C78" s="376"/>
      <c r="D78" s="258"/>
      <c r="E78" s="774"/>
      <c r="F78" s="774"/>
      <c r="G78" s="774"/>
      <c r="H78" s="774"/>
      <c r="I78" s="774"/>
      <c r="J78" s="774"/>
      <c r="K78" s="774"/>
      <c r="L78" s="774"/>
      <c r="M78" s="775"/>
      <c r="N78" s="1254"/>
      <c r="O78" s="1254"/>
      <c r="P78" s="1254"/>
      <c r="Q78" s="1254"/>
      <c r="R78" s="788"/>
      <c r="S78" s="789"/>
      <c r="T78" s="789"/>
      <c r="U78" s="789"/>
      <c r="V78" s="789"/>
      <c r="W78" s="789"/>
      <c r="X78" s="789"/>
      <c r="Y78" s="789"/>
      <c r="Z78" s="789"/>
      <c r="AA78" s="789"/>
      <c r="AB78" s="789"/>
      <c r="AC78" s="789"/>
      <c r="AD78" s="789"/>
      <c r="AE78" s="789"/>
      <c r="AF78" s="248"/>
      <c r="AG78" s="237"/>
      <c r="AH78" s="242"/>
      <c r="AI78" s="242"/>
      <c r="AJ78" s="242"/>
      <c r="AK78" s="242"/>
      <c r="AL78" s="242"/>
      <c r="AM78" s="242"/>
      <c r="AN78" s="243"/>
    </row>
    <row r="79" spans="2:40" ht="18" customHeight="1">
      <c r="B79" s="1304" t="s">
        <v>388</v>
      </c>
      <c r="C79" s="1869" t="str">
        <f ca="1">'LAMPIRAN'!B90</f>
        <v/>
      </c>
      <c r="D79" s="2117"/>
      <c r="E79" s="2562" t="str">
        <f ca="1">'LAMPIRAN'!D90</f>
        <v/>
      </c>
      <c r="F79" s="2563"/>
      <c r="G79" s="2563"/>
      <c r="H79" s="2563"/>
      <c r="I79" s="2563"/>
      <c r="J79" s="2563"/>
      <c r="K79" s="2563"/>
      <c r="L79" s="2563"/>
      <c r="M79" s="2564"/>
      <c r="N79" s="2025" t="str">
        <f ca="1">'LAMPIRAN'!O90</f>
        <v/>
      </c>
      <c r="O79" s="2026"/>
      <c r="P79" s="2026"/>
      <c r="Q79" s="2027"/>
      <c r="R79" s="2630" t="str">
        <f ca="1">'LAMPIRAN'!S90</f>
        <v/>
      </c>
      <c r="S79" s="2631"/>
      <c r="T79" s="2631"/>
      <c r="U79" s="2631"/>
      <c r="V79" s="2631"/>
      <c r="W79" s="2631"/>
      <c r="X79" s="2631"/>
      <c r="Y79" s="2631"/>
      <c r="Z79" s="2631"/>
      <c r="AA79" s="2631"/>
      <c r="AB79" s="2631"/>
      <c r="AC79" s="2631"/>
      <c r="AD79" s="2631"/>
      <c r="AE79" s="2631"/>
      <c r="AF79" s="279"/>
      <c r="AG79" s="2653" t="str">
        <f>IF(dateofdeparture&gt;0,"saya terlampir.","")</f>
        <v/>
      </c>
      <c r="AH79" s="2654"/>
      <c r="AI79" s="2654"/>
      <c r="AJ79" s="2654"/>
      <c r="AK79" s="2654"/>
      <c r="AL79" s="2654"/>
      <c r="AM79" s="2654"/>
      <c r="AN79" s="2655"/>
    </row>
    <row r="80" spans="2:40" ht="18" customHeight="1">
      <c r="B80" s="1294"/>
      <c r="C80" s="376"/>
      <c r="D80" s="1943"/>
      <c r="E80" s="2603"/>
      <c r="F80" s="774"/>
      <c r="G80" s="774"/>
      <c r="H80" s="774"/>
      <c r="I80" s="774"/>
      <c r="J80" s="774"/>
      <c r="K80" s="774"/>
      <c r="L80" s="774"/>
      <c r="M80" s="775"/>
      <c r="N80" s="2028"/>
      <c r="O80" s="1254"/>
      <c r="P80" s="1254"/>
      <c r="Q80" s="2029"/>
      <c r="R80" s="788"/>
      <c r="S80" s="789"/>
      <c r="T80" s="789"/>
      <c r="U80" s="789"/>
      <c r="V80" s="789"/>
      <c r="W80" s="789"/>
      <c r="X80" s="789"/>
      <c r="Y80" s="789"/>
      <c r="Z80" s="789"/>
      <c r="AA80" s="789"/>
      <c r="AB80" s="789"/>
      <c r="AC80" s="789"/>
      <c r="AD80" s="789"/>
      <c r="AE80" s="789"/>
      <c r="AF80" s="248"/>
      <c r="AG80" s="2656"/>
      <c r="AH80" s="2657"/>
      <c r="AI80" s="2657"/>
      <c r="AJ80" s="2657"/>
      <c r="AK80" s="2657"/>
      <c r="AL80" s="2657"/>
      <c r="AM80" s="2657"/>
      <c r="AN80" s="2658"/>
    </row>
    <row r="81" spans="2:40" ht="3" customHeight="1">
      <c r="B81" s="141"/>
      <c r="C81" s="376"/>
      <c r="D81" s="258"/>
      <c r="E81" s="774"/>
      <c r="F81" s="774"/>
      <c r="G81" s="774"/>
      <c r="H81" s="774"/>
      <c r="I81" s="774"/>
      <c r="J81" s="774"/>
      <c r="K81" s="774"/>
      <c r="L81" s="774"/>
      <c r="M81" s="775"/>
      <c r="N81" s="1254"/>
      <c r="O81" s="1254"/>
      <c r="P81" s="1254"/>
      <c r="Q81" s="1254"/>
      <c r="R81" s="788"/>
      <c r="S81" s="789"/>
      <c r="T81" s="789"/>
      <c r="U81" s="789"/>
      <c r="V81" s="789"/>
      <c r="W81" s="789"/>
      <c r="X81" s="789"/>
      <c r="Y81" s="789"/>
      <c r="Z81" s="789"/>
      <c r="AA81" s="789"/>
      <c r="AB81" s="789"/>
      <c r="AC81" s="789"/>
      <c r="AD81" s="789"/>
      <c r="AE81" s="789"/>
      <c r="AF81" s="248"/>
      <c r="AG81" s="237"/>
      <c r="AH81" s="242"/>
      <c r="AI81" s="242"/>
      <c r="AJ81" s="242"/>
      <c r="AK81" s="242"/>
      <c r="AL81" s="242"/>
      <c r="AM81" s="242"/>
      <c r="AN81" s="243"/>
    </row>
    <row r="82" spans="2:40" ht="18" customHeight="1">
      <c r="B82" s="1304" t="s">
        <v>389</v>
      </c>
      <c r="C82" s="1869" t="str">
        <f ca="1">'LAMPIRAN'!B91</f>
        <v/>
      </c>
      <c r="D82" s="2117"/>
      <c r="E82" s="2562" t="str">
        <f ca="1">'LAMPIRAN'!D91</f>
        <v/>
      </c>
      <c r="F82" s="2563"/>
      <c r="G82" s="2563"/>
      <c r="H82" s="2563"/>
      <c r="I82" s="2563"/>
      <c r="J82" s="2563"/>
      <c r="K82" s="2563"/>
      <c r="L82" s="2563"/>
      <c r="M82" s="2564"/>
      <c r="N82" s="2025" t="str">
        <f ca="1">'LAMPIRAN'!O91</f>
        <v/>
      </c>
      <c r="O82" s="2026"/>
      <c r="P82" s="2026"/>
      <c r="Q82" s="2027"/>
      <c r="R82" s="2630" t="str">
        <f ca="1">'LAMPIRAN'!S91</f>
        <v/>
      </c>
      <c r="S82" s="2631"/>
      <c r="T82" s="2631"/>
      <c r="U82" s="2631"/>
      <c r="V82" s="2631"/>
      <c r="W82" s="2631"/>
      <c r="X82" s="2631"/>
      <c r="Y82" s="2631"/>
      <c r="Z82" s="2631"/>
      <c r="AA82" s="2631"/>
      <c r="AB82" s="2631"/>
      <c r="AC82" s="2631"/>
      <c r="AD82" s="2631"/>
      <c r="AE82" s="2631"/>
      <c r="AF82" s="279"/>
      <c r="AG82" s="2653"/>
      <c r="AH82" s="2654"/>
      <c r="AI82" s="2654"/>
      <c r="AJ82" s="2654"/>
      <c r="AK82" s="2654"/>
      <c r="AL82" s="2654"/>
      <c r="AM82" s="2654"/>
      <c r="AN82" s="2655"/>
    </row>
    <row r="83" spans="2:40" ht="18" customHeight="1">
      <c r="B83" s="1294"/>
      <c r="C83" s="376"/>
      <c r="D83" s="1943"/>
      <c r="E83" s="2603"/>
      <c r="F83" s="774"/>
      <c r="G83" s="774"/>
      <c r="H83" s="774"/>
      <c r="I83" s="774"/>
      <c r="J83" s="774"/>
      <c r="K83" s="774"/>
      <c r="L83" s="774"/>
      <c r="M83" s="775"/>
      <c r="N83" s="2028"/>
      <c r="O83" s="1254"/>
      <c r="P83" s="1254"/>
      <c r="Q83" s="2029"/>
      <c r="R83" s="788"/>
      <c r="S83" s="789"/>
      <c r="T83" s="789"/>
      <c r="U83" s="789"/>
      <c r="V83" s="789"/>
      <c r="W83" s="789"/>
      <c r="X83" s="789"/>
      <c r="Y83" s="789"/>
      <c r="Z83" s="789"/>
      <c r="AA83" s="789"/>
      <c r="AB83" s="789"/>
      <c r="AC83" s="789"/>
      <c r="AD83" s="789"/>
      <c r="AE83" s="789"/>
      <c r="AF83" s="248"/>
      <c r="AG83" s="2656"/>
      <c r="AH83" s="2657"/>
      <c r="AI83" s="2657"/>
      <c r="AJ83" s="2657"/>
      <c r="AK83" s="2657"/>
      <c r="AL83" s="2657"/>
      <c r="AM83" s="2657"/>
      <c r="AN83" s="2658"/>
    </row>
    <row r="84" spans="2:40" ht="3" customHeight="1">
      <c r="B84" s="1294"/>
      <c r="C84" s="376"/>
      <c r="D84" s="258"/>
      <c r="E84" s="774"/>
      <c r="F84" s="774"/>
      <c r="G84" s="774"/>
      <c r="H84" s="774"/>
      <c r="I84" s="774"/>
      <c r="J84" s="774"/>
      <c r="K84" s="774"/>
      <c r="L84" s="774"/>
      <c r="M84" s="775"/>
      <c r="N84" s="1254"/>
      <c r="O84" s="1254"/>
      <c r="P84" s="1254"/>
      <c r="Q84" s="1254"/>
      <c r="R84" s="788"/>
      <c r="S84" s="789"/>
      <c r="T84" s="789"/>
      <c r="U84" s="789"/>
      <c r="V84" s="789"/>
      <c r="W84" s="789"/>
      <c r="X84" s="789"/>
      <c r="Y84" s="789"/>
      <c r="Z84" s="789"/>
      <c r="AA84" s="789"/>
      <c r="AB84" s="789"/>
      <c r="AC84" s="789"/>
      <c r="AD84" s="789"/>
      <c r="AE84" s="789"/>
      <c r="AF84" s="248"/>
      <c r="AG84" s="237"/>
      <c r="AH84" s="242"/>
      <c r="AI84" s="242"/>
      <c r="AJ84" s="242"/>
      <c r="AK84" s="242"/>
      <c r="AL84" s="242"/>
      <c r="AM84" s="242"/>
      <c r="AN84" s="243"/>
    </row>
    <row r="85" spans="2:40" ht="18" customHeight="1">
      <c r="B85" s="1304" t="s">
        <v>390</v>
      </c>
      <c r="C85" s="1869" t="str">
        <f ca="1">'LAMPIRAN'!B92</f>
        <v/>
      </c>
      <c r="D85" s="2117"/>
      <c r="E85" s="2562" t="str">
        <f ca="1">'LAMPIRAN'!D92</f>
        <v/>
      </c>
      <c r="F85" s="2563"/>
      <c r="G85" s="2563"/>
      <c r="H85" s="2563"/>
      <c r="I85" s="2563"/>
      <c r="J85" s="2563"/>
      <c r="K85" s="2563"/>
      <c r="L85" s="2563"/>
      <c r="M85" s="2564"/>
      <c r="N85" s="2025" t="str">
        <f ca="1">'LAMPIRAN'!O92</f>
        <v/>
      </c>
      <c r="O85" s="2026"/>
      <c r="P85" s="2026"/>
      <c r="Q85" s="2027"/>
      <c r="R85" s="2630" t="str">
        <f ca="1">'LAMPIRAN'!S92</f>
        <v/>
      </c>
      <c r="S85" s="2631"/>
      <c r="T85" s="2631"/>
      <c r="U85" s="2631"/>
      <c r="V85" s="2631"/>
      <c r="W85" s="2631"/>
      <c r="X85" s="2631"/>
      <c r="Y85" s="2631"/>
      <c r="Z85" s="2631"/>
      <c r="AA85" s="2631"/>
      <c r="AB85" s="2631"/>
      <c r="AC85" s="2631"/>
      <c r="AD85" s="2631"/>
      <c r="AE85" s="2631"/>
      <c r="AF85" s="279"/>
      <c r="AG85" s="2653"/>
      <c r="AH85" s="2654"/>
      <c r="AI85" s="2654"/>
      <c r="AJ85" s="2654"/>
      <c r="AK85" s="2654"/>
      <c r="AL85" s="2654"/>
      <c r="AM85" s="2654"/>
      <c r="AN85" s="2655"/>
    </row>
    <row r="86" spans="2:40" ht="18" customHeight="1">
      <c r="B86" s="1294" t="s">
        <v>129</v>
      </c>
      <c r="C86" s="376"/>
      <c r="D86" s="1943"/>
      <c r="E86" s="2603"/>
      <c r="F86" s="774"/>
      <c r="G86" s="774"/>
      <c r="H86" s="774"/>
      <c r="I86" s="774"/>
      <c r="J86" s="774"/>
      <c r="K86" s="774"/>
      <c r="L86" s="774"/>
      <c r="M86" s="775"/>
      <c r="N86" s="2028"/>
      <c r="O86" s="1254"/>
      <c r="P86" s="1254"/>
      <c r="Q86" s="2029"/>
      <c r="R86" s="788"/>
      <c r="S86" s="789"/>
      <c r="T86" s="789"/>
      <c r="U86" s="789"/>
      <c r="V86" s="789"/>
      <c r="W86" s="789"/>
      <c r="X86" s="789"/>
      <c r="Y86" s="789"/>
      <c r="Z86" s="789"/>
      <c r="AA86" s="789"/>
      <c r="AB86" s="789"/>
      <c r="AC86" s="789"/>
      <c r="AD86" s="789"/>
      <c r="AE86" s="789"/>
      <c r="AF86" s="248"/>
      <c r="AG86" s="2656"/>
      <c r="AH86" s="2657"/>
      <c r="AI86" s="2657"/>
      <c r="AJ86" s="2657"/>
      <c r="AK86" s="2657"/>
      <c r="AL86" s="2657"/>
      <c r="AM86" s="2657"/>
      <c r="AN86" s="2658"/>
    </row>
    <row r="87" spans="2:40" ht="3" customHeight="1">
      <c r="B87" s="309"/>
      <c r="C87" s="377"/>
      <c r="D87" s="261"/>
      <c r="E87" s="257"/>
      <c r="F87" s="257"/>
      <c r="G87" s="257"/>
      <c r="H87" s="257"/>
      <c r="I87" s="257"/>
      <c r="J87" s="257"/>
      <c r="K87" s="257"/>
      <c r="L87" s="257"/>
      <c r="M87" s="258"/>
      <c r="N87" s="246"/>
      <c r="O87" s="257"/>
      <c r="P87" s="257"/>
      <c r="Q87" s="257"/>
      <c r="R87" s="281"/>
      <c r="S87" s="282"/>
      <c r="T87" s="282"/>
      <c r="U87" s="282"/>
      <c r="V87" s="282"/>
      <c r="W87" s="282"/>
      <c r="X87" s="282"/>
      <c r="Y87" s="282"/>
      <c r="Z87" s="282"/>
      <c r="AA87" s="282"/>
      <c r="AB87" s="282"/>
      <c r="AC87" s="282"/>
      <c r="AD87" s="282"/>
      <c r="AE87" s="282"/>
      <c r="AF87" s="280"/>
      <c r="AG87" s="237"/>
      <c r="AH87" s="242"/>
      <c r="AI87" s="242"/>
      <c r="AJ87" s="242"/>
      <c r="AK87" s="242"/>
      <c r="AL87" s="242"/>
      <c r="AM87" s="242"/>
      <c r="AN87" s="243"/>
    </row>
    <row r="88" spans="2:40" ht="15" customHeight="1">
      <c r="B88" s="146"/>
      <c r="C88" s="142" t="s">
        <v>110</v>
      </c>
      <c r="D88" s="1307"/>
      <c r="E88" s="1307"/>
      <c r="F88" s="1307"/>
      <c r="G88" s="1307"/>
      <c r="H88" s="1307"/>
      <c r="I88" s="1307"/>
      <c r="J88" s="1307"/>
      <c r="K88" s="1307"/>
      <c r="L88" s="1307"/>
      <c r="M88" s="1895"/>
      <c r="N88" s="170"/>
      <c r="O88" s="170"/>
      <c r="P88" s="142" t="s">
        <v>111</v>
      </c>
      <c r="Q88" s="1895"/>
      <c r="R88" s="2036">
        <f ca="1">SUM(R73:AE86)</f>
        <v>0</v>
      </c>
      <c r="S88" s="2037"/>
      <c r="T88" s="2037"/>
      <c r="U88" s="2037"/>
      <c r="V88" s="2037"/>
      <c r="W88" s="2037"/>
      <c r="X88" s="2037"/>
      <c r="Y88" s="2037"/>
      <c r="Z88" s="2037"/>
      <c r="AA88" s="2037"/>
      <c r="AB88" s="2037"/>
      <c r="AC88" s="2037"/>
      <c r="AD88" s="2037"/>
      <c r="AE88" s="2037"/>
      <c r="AF88" s="270"/>
      <c r="AG88" s="183"/>
      <c r="AH88" s="183"/>
      <c r="AI88" s="183"/>
      <c r="AJ88" s="183"/>
      <c r="AK88" s="184"/>
      <c r="AL88" s="184"/>
      <c r="AM88" s="184"/>
      <c r="AN88" s="185"/>
    </row>
    <row r="89" spans="2:40" ht="4.5" customHeight="1">
      <c r="B89" s="154"/>
      <c r="C89" s="141"/>
      <c r="D89" s="67"/>
      <c r="E89" s="67"/>
      <c r="F89" s="67"/>
      <c r="G89" s="67"/>
      <c r="H89" s="67"/>
      <c r="I89" s="67"/>
      <c r="J89" s="67"/>
      <c r="K89" s="67"/>
      <c r="L89" s="67"/>
      <c r="M89" s="297"/>
      <c r="N89" s="99"/>
      <c r="O89" s="99"/>
      <c r="P89" s="141"/>
      <c r="Q89" s="297"/>
      <c r="R89" s="2038"/>
      <c r="S89" s="2039"/>
      <c r="T89" s="2039"/>
      <c r="U89" s="2039"/>
      <c r="V89" s="2039"/>
      <c r="W89" s="2039"/>
      <c r="X89" s="2039"/>
      <c r="Y89" s="2039"/>
      <c r="Z89" s="2039"/>
      <c r="AA89" s="2039"/>
      <c r="AB89" s="2039"/>
      <c r="AC89" s="2039"/>
      <c r="AD89" s="2039"/>
      <c r="AE89" s="2039"/>
      <c r="AF89" s="271"/>
      <c r="AG89" s="97"/>
      <c r="AH89" s="97"/>
      <c r="AI89" s="97"/>
      <c r="AJ89" s="97"/>
      <c r="AK89" s="98"/>
      <c r="AL89" s="98"/>
      <c r="AM89" s="98"/>
      <c r="AN89" s="179"/>
    </row>
    <row r="90" spans="2:40" ht="3" customHeight="1" hidden="1">
      <c r="B90" s="177"/>
      <c r="C90" s="1293"/>
      <c r="D90" s="1901"/>
      <c r="E90" s="1901"/>
      <c r="F90" s="1901"/>
      <c r="G90" s="1901"/>
      <c r="H90" s="1901"/>
      <c r="I90" s="1901"/>
      <c r="J90" s="1901"/>
      <c r="K90" s="1901"/>
      <c r="L90" s="1901"/>
      <c r="M90" s="1896"/>
      <c r="N90" s="156"/>
      <c r="O90" s="156"/>
      <c r="P90" s="1293"/>
      <c r="Q90" s="1896"/>
      <c r="R90" s="272"/>
      <c r="S90" s="273"/>
      <c r="T90" s="273"/>
      <c r="U90" s="273"/>
      <c r="V90" s="273"/>
      <c r="W90" s="273"/>
      <c r="X90" s="273"/>
      <c r="Y90" s="273"/>
      <c r="Z90" s="273"/>
      <c r="AA90" s="273"/>
      <c r="AB90" s="273"/>
      <c r="AC90" s="273"/>
      <c r="AD90" s="273"/>
      <c r="AE90" s="273"/>
      <c r="AF90" s="274"/>
      <c r="AG90" s="180"/>
      <c r="AH90" s="180"/>
      <c r="AI90" s="180"/>
      <c r="AJ90" s="180"/>
      <c r="AK90" s="181"/>
      <c r="AL90" s="181"/>
      <c r="AM90" s="181"/>
      <c r="AN90" s="182"/>
    </row>
    <row r="91" spans="2:40" ht="5.25" customHeight="1"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  <c r="AC91" s="133"/>
      <c r="AD91" s="45"/>
      <c r="AE91" s="45"/>
      <c r="AF91" s="45"/>
      <c r="AG91" s="45"/>
      <c r="AH91" s="45"/>
      <c r="AI91" s="45"/>
      <c r="AJ91" s="164"/>
      <c r="AK91" s="164"/>
      <c r="AL91" s="164"/>
      <c r="AM91" s="164"/>
      <c r="AN91" s="164"/>
    </row>
    <row r="92" spans="2:40" ht="3" customHeight="1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4"/>
      <c r="AE92" s="4"/>
      <c r="AF92" s="4"/>
      <c r="AG92" s="4"/>
      <c r="AH92" s="4"/>
      <c r="AI92" s="4"/>
      <c r="AJ92"/>
      <c r="AK92"/>
      <c r="AL92"/>
      <c r="AM92"/>
      <c r="AN92"/>
    </row>
    <row r="93" spans="2:40" ht="15" customHeight="1">
      <c r="B93" s="71"/>
      <c r="C93" s="72" t="s">
        <v>59</v>
      </c>
      <c r="D93" s="72"/>
      <c r="E93" s="15"/>
      <c r="F93" s="72" t="s">
        <v>26</v>
      </c>
      <c r="G93" s="78" t="s">
        <v>429</v>
      </c>
      <c r="H93" s="15"/>
      <c r="I93" s="72"/>
      <c r="J93" s="72"/>
      <c r="K93" s="72"/>
      <c r="L93" s="79"/>
      <c r="M93" s="4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7"/>
      <c r="AC93" s="11"/>
      <c r="AD93" s="4"/>
      <c r="AE93" s="4"/>
      <c r="AF93" s="4"/>
      <c r="AG93" s="4"/>
      <c r="AH93" s="4"/>
      <c r="AI93" s="4"/>
      <c r="AJ93"/>
      <c r="AK93"/>
      <c r="AL93"/>
      <c r="AM93"/>
      <c r="AN93"/>
    </row>
    <row r="94" spans="2:40" ht="3" customHeight="1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4"/>
      <c r="AE94" s="4"/>
      <c r="AF94" s="4"/>
      <c r="AG94" s="4"/>
      <c r="AH94" s="4"/>
      <c r="AI94" s="4"/>
      <c r="AJ94"/>
      <c r="AK94"/>
      <c r="AL94"/>
      <c r="AM94"/>
      <c r="AN94"/>
    </row>
    <row r="95" spans="2:40" ht="3" customHeight="1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4"/>
      <c r="AE95" s="4"/>
      <c r="AF95" s="4"/>
      <c r="AG95" s="4"/>
      <c r="AH95" s="4"/>
      <c r="AI95" s="4"/>
      <c r="AJ95"/>
      <c r="AK95"/>
      <c r="AL95"/>
      <c r="AM95"/>
      <c r="AN95"/>
    </row>
    <row r="96" spans="2:40" ht="15" customHeight="1">
      <c r="B96" s="2591" t="s">
        <v>76</v>
      </c>
      <c r="C96" s="1311" t="s">
        <v>886</v>
      </c>
      <c r="D96" s="2070"/>
      <c r="E96" s="1307" t="s">
        <v>885</v>
      </c>
      <c r="F96" s="1307"/>
      <c r="G96" s="1307"/>
      <c r="H96" s="1307"/>
      <c r="I96" s="1307"/>
      <c r="J96" s="1307"/>
      <c r="K96" s="1307"/>
      <c r="L96" s="1307"/>
      <c r="M96" s="1307"/>
      <c r="N96" s="1307"/>
      <c r="O96" s="1895"/>
      <c r="P96" s="149" t="s">
        <v>103</v>
      </c>
      <c r="Q96" s="149"/>
      <c r="R96" s="149"/>
      <c r="S96" s="149"/>
      <c r="T96" s="149"/>
      <c r="U96" s="149"/>
      <c r="V96" s="149"/>
      <c r="W96" s="149"/>
      <c r="X96" s="149"/>
      <c r="Y96" s="149"/>
      <c r="Z96" s="149"/>
      <c r="AA96" s="149"/>
      <c r="AB96" s="146" t="s">
        <v>71</v>
      </c>
      <c r="AC96" s="149"/>
      <c r="AD96" s="149"/>
      <c r="AE96" s="149"/>
      <c r="AF96" s="2550"/>
      <c r="AG96" s="1307" t="s">
        <v>74</v>
      </c>
      <c r="AH96" s="1307"/>
      <c r="AI96" s="1307"/>
      <c r="AJ96" s="1307"/>
      <c r="AK96" s="1307"/>
      <c r="AL96" s="1307"/>
      <c r="AM96" s="1307"/>
      <c r="AN96" s="1895"/>
    </row>
    <row r="97" spans="2:55" ht="15.75" customHeight="1">
      <c r="B97" s="2540"/>
      <c r="C97" s="328"/>
      <c r="D97" s="2072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297"/>
      <c r="P97" s="79" t="s">
        <v>75</v>
      </c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154" t="s">
        <v>124</v>
      </c>
      <c r="AC97" s="79"/>
      <c r="AD97" s="79"/>
      <c r="AE97" s="79"/>
      <c r="AF97" s="2546"/>
      <c r="AG97" s="67"/>
      <c r="AH97" s="67"/>
      <c r="AI97" s="67"/>
      <c r="AJ97" s="67"/>
      <c r="AK97" s="67"/>
      <c r="AL97" s="67"/>
      <c r="AM97" s="67"/>
      <c r="AN97" s="297"/>
      <c r="BC97" s="2788" t="s">
        <v>197</v>
      </c>
    </row>
    <row r="98" spans="2:40" ht="3" customHeight="1">
      <c r="B98" s="2540"/>
      <c r="C98" s="2073"/>
      <c r="D98" s="2075"/>
      <c r="E98" s="1901"/>
      <c r="F98" s="1901"/>
      <c r="G98" s="1901"/>
      <c r="H98" s="1901"/>
      <c r="I98" s="1901"/>
      <c r="J98" s="1901"/>
      <c r="K98" s="1901"/>
      <c r="L98" s="1901"/>
      <c r="M98" s="1901"/>
      <c r="N98" s="1901"/>
      <c r="O98" s="1896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3"/>
      <c r="AC98" s="15"/>
      <c r="AD98" s="15"/>
      <c r="AE98" s="15"/>
      <c r="AF98" s="144"/>
      <c r="AG98" s="66"/>
      <c r="AH98" s="15"/>
      <c r="AI98" s="66"/>
      <c r="AJ98" s="66"/>
      <c r="AK98" s="66"/>
      <c r="AL98" s="66"/>
      <c r="AM98" s="66"/>
      <c r="AN98" s="151"/>
    </row>
    <row r="99" spans="2:40" s="16" customFormat="1" ht="12" customHeight="1">
      <c r="B99" s="145" t="s">
        <v>65</v>
      </c>
      <c r="C99" s="145" t="s">
        <v>64</v>
      </c>
      <c r="D99" s="1862"/>
      <c r="E99" s="145" t="s">
        <v>66</v>
      </c>
      <c r="F99" s="1861"/>
      <c r="G99" s="1861"/>
      <c r="H99" s="1861"/>
      <c r="I99" s="1861"/>
      <c r="J99" s="1861"/>
      <c r="K99" s="1861"/>
      <c r="L99" s="1861"/>
      <c r="M99" s="1861"/>
      <c r="N99" s="1861"/>
      <c r="O99" s="1862"/>
      <c r="P99" s="1861" t="s">
        <v>67</v>
      </c>
      <c r="Q99" s="1861"/>
      <c r="R99" s="1861"/>
      <c r="S99" s="1861"/>
      <c r="T99" s="1861"/>
      <c r="U99" s="1861"/>
      <c r="V99" s="1861"/>
      <c r="W99" s="1861"/>
      <c r="X99" s="1861"/>
      <c r="Y99" s="1861"/>
      <c r="Z99" s="1861"/>
      <c r="AA99" s="1861"/>
      <c r="AB99" s="145" t="s">
        <v>68</v>
      </c>
      <c r="AC99" s="1861"/>
      <c r="AD99" s="1861"/>
      <c r="AE99" s="1861"/>
      <c r="AF99" s="1862"/>
      <c r="AG99" s="1861" t="s">
        <v>100</v>
      </c>
      <c r="AH99" s="1861"/>
      <c r="AI99" s="1861"/>
      <c r="AJ99" s="1861"/>
      <c r="AK99" s="1861"/>
      <c r="AL99" s="1861"/>
      <c r="AM99" s="1861"/>
      <c r="AN99" s="1862"/>
    </row>
    <row r="100" spans="2:42" ht="18" customHeight="1">
      <c r="B100" s="1304" t="s">
        <v>386</v>
      </c>
      <c r="C100" s="1300" t="str">
        <f ca="1">'LAMPIRAN'!B124</f>
        <v/>
      </c>
      <c r="D100" s="1302"/>
      <c r="E100" s="2604" t="str">
        <f ca="1">'LAMPIRAN'!D124</f>
        <v/>
      </c>
      <c r="F100" s="2146"/>
      <c r="G100" s="2146"/>
      <c r="H100" s="2146"/>
      <c r="I100" s="2146"/>
      <c r="J100" s="2146"/>
      <c r="K100" s="2146"/>
      <c r="L100" s="2146"/>
      <c r="M100" s="2146"/>
      <c r="N100" s="2146"/>
      <c r="O100" s="2147"/>
      <c r="P100" s="1300"/>
      <c r="Q100" s="1301"/>
      <c r="R100" s="1301"/>
      <c r="S100" s="1301"/>
      <c r="T100" s="1301"/>
      <c r="U100" s="1301"/>
      <c r="V100" s="1301"/>
      <c r="W100" s="1301"/>
      <c r="X100" s="1301"/>
      <c r="Y100" s="1301"/>
      <c r="Z100" s="1301"/>
      <c r="AA100" s="1302"/>
      <c r="AB100" s="2134" t="str">
        <f ca="1">'LAMPIRAN'!T124</f>
        <v/>
      </c>
      <c r="AC100" s="2135"/>
      <c r="AD100" s="2135"/>
      <c r="AE100" s="2135"/>
      <c r="AF100" s="2136"/>
      <c r="AG100" s="2036" t="str">
        <f ca="1">'LAMPIRAN'!X124</f>
        <v/>
      </c>
      <c r="AH100" s="2037"/>
      <c r="AI100" s="2037"/>
      <c r="AJ100" s="2037"/>
      <c r="AK100" s="2037"/>
      <c r="AL100" s="2037"/>
      <c r="AM100" s="2037"/>
      <c r="AN100" s="253"/>
      <c r="AP100" s="1285" t="s">
        <v>1401</v>
      </c>
    </row>
    <row r="101" spans="2:40" ht="18" customHeight="1">
      <c r="B101" s="1294"/>
      <c r="C101" s="746"/>
      <c r="D101" s="747"/>
      <c r="E101" s="373"/>
      <c r="F101" s="374"/>
      <c r="G101" s="374"/>
      <c r="H101" s="374"/>
      <c r="I101" s="374"/>
      <c r="J101" s="374"/>
      <c r="K101" s="374"/>
      <c r="L101" s="374"/>
      <c r="M101" s="374"/>
      <c r="N101" s="374"/>
      <c r="O101" s="375"/>
      <c r="P101" s="746"/>
      <c r="Q101" s="252"/>
      <c r="R101" s="252"/>
      <c r="S101" s="252"/>
      <c r="T101" s="252"/>
      <c r="U101" s="252"/>
      <c r="V101" s="252"/>
      <c r="W101" s="252"/>
      <c r="X101" s="252"/>
      <c r="Y101" s="252"/>
      <c r="Z101" s="252"/>
      <c r="AA101" s="747"/>
      <c r="AB101" s="1288"/>
      <c r="AC101" s="1281"/>
      <c r="AD101" s="1281"/>
      <c r="AE101" s="1281"/>
      <c r="AF101" s="1289"/>
      <c r="AG101" s="2038"/>
      <c r="AH101" s="2039"/>
      <c r="AI101" s="2039"/>
      <c r="AJ101" s="2039"/>
      <c r="AK101" s="2039"/>
      <c r="AL101" s="2039"/>
      <c r="AM101" s="2039"/>
      <c r="AN101" s="254"/>
    </row>
    <row r="102" spans="2:40" ht="3" customHeight="1">
      <c r="B102" s="141"/>
      <c r="C102" s="591"/>
      <c r="D102" s="1321"/>
      <c r="E102" s="373"/>
      <c r="F102" s="374"/>
      <c r="G102" s="374"/>
      <c r="H102" s="374"/>
      <c r="I102" s="374"/>
      <c r="J102" s="374"/>
      <c r="K102" s="374"/>
      <c r="L102" s="374"/>
      <c r="M102" s="374"/>
      <c r="N102" s="374"/>
      <c r="O102" s="375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1288"/>
      <c r="AC102" s="1281"/>
      <c r="AD102" s="1281"/>
      <c r="AE102" s="1281"/>
      <c r="AF102" s="1289"/>
      <c r="AG102" s="275"/>
      <c r="AH102" s="275"/>
      <c r="AI102" s="275"/>
      <c r="AJ102" s="275"/>
      <c r="AK102" s="275"/>
      <c r="AL102" s="275"/>
      <c r="AM102" s="275"/>
      <c r="AN102" s="283"/>
    </row>
    <row r="103" spans="2:40" ht="15" customHeight="1">
      <c r="B103" s="1304" t="s">
        <v>387</v>
      </c>
      <c r="C103" s="1869" t="str">
        <f ca="1">'LAMPIRAN'!B125</f>
        <v/>
      </c>
      <c r="D103" s="2117"/>
      <c r="E103" s="2562" t="str">
        <f ca="1">'LAMPIRAN'!D125</f>
        <v/>
      </c>
      <c r="F103" s="2563"/>
      <c r="G103" s="2563"/>
      <c r="H103" s="2563"/>
      <c r="I103" s="2563"/>
      <c r="J103" s="2563"/>
      <c r="K103" s="2563"/>
      <c r="L103" s="2563"/>
      <c r="M103" s="2563"/>
      <c r="N103" s="2563"/>
      <c r="O103" s="2564"/>
      <c r="P103" s="1869"/>
      <c r="Q103" s="1870"/>
      <c r="R103" s="1870"/>
      <c r="S103" s="1870"/>
      <c r="T103" s="1870"/>
      <c r="U103" s="1870"/>
      <c r="V103" s="1870"/>
      <c r="W103" s="1870"/>
      <c r="X103" s="1870"/>
      <c r="Y103" s="1870"/>
      <c r="Z103" s="1870"/>
      <c r="AA103" s="2117"/>
      <c r="AB103" s="2134" t="str">
        <f ca="1">'LAMPIRAN'!T125</f>
        <v/>
      </c>
      <c r="AC103" s="2135"/>
      <c r="AD103" s="2135"/>
      <c r="AE103" s="2135"/>
      <c r="AF103" s="2136"/>
      <c r="AG103" s="2605" t="str">
        <f ca="1">'LAMPIRAN'!X125</f>
        <v/>
      </c>
      <c r="AH103" s="2606"/>
      <c r="AI103" s="2606"/>
      <c r="AJ103" s="2606"/>
      <c r="AK103" s="2606"/>
      <c r="AL103" s="2606"/>
      <c r="AM103" s="2606"/>
      <c r="AN103" s="1385"/>
    </row>
    <row r="104" spans="2:40" ht="12.75" customHeight="1">
      <c r="B104" s="1294"/>
      <c r="C104" s="376"/>
      <c r="D104" s="1943"/>
      <c r="E104" s="2603"/>
      <c r="F104" s="774"/>
      <c r="G104" s="774"/>
      <c r="H104" s="774"/>
      <c r="I104" s="774"/>
      <c r="J104" s="774"/>
      <c r="K104" s="774"/>
      <c r="L104" s="774"/>
      <c r="M104" s="774"/>
      <c r="N104" s="774"/>
      <c r="O104" s="775"/>
      <c r="P104" s="376"/>
      <c r="Q104" s="246"/>
      <c r="R104" s="246"/>
      <c r="S104" s="246"/>
      <c r="T104" s="246"/>
      <c r="U104" s="246"/>
      <c r="V104" s="246"/>
      <c r="W104" s="246"/>
      <c r="X104" s="246"/>
      <c r="Y104" s="246"/>
      <c r="Z104" s="246"/>
      <c r="AA104" s="1943"/>
      <c r="AB104" s="1288"/>
      <c r="AC104" s="1281"/>
      <c r="AD104" s="1281"/>
      <c r="AE104" s="1281"/>
      <c r="AF104" s="1289"/>
      <c r="AG104" s="2607"/>
      <c r="AH104" s="1319"/>
      <c r="AI104" s="1319"/>
      <c r="AJ104" s="1319"/>
      <c r="AK104" s="1319"/>
      <c r="AL104" s="1319"/>
      <c r="AM104" s="1319"/>
      <c r="AN104" s="1320"/>
    </row>
    <row r="105" spans="2:40" ht="3" customHeight="1">
      <c r="B105" s="141"/>
      <c r="C105" s="589"/>
      <c r="D105" s="258"/>
      <c r="E105" s="774"/>
      <c r="F105" s="774"/>
      <c r="G105" s="774"/>
      <c r="H105" s="774"/>
      <c r="I105" s="774"/>
      <c r="J105" s="774"/>
      <c r="K105" s="774"/>
      <c r="L105" s="774"/>
      <c r="M105" s="774"/>
      <c r="N105" s="774"/>
      <c r="O105" s="775"/>
      <c r="P105" s="376"/>
      <c r="Q105" s="246"/>
      <c r="R105" s="246"/>
      <c r="S105" s="246"/>
      <c r="T105" s="246"/>
      <c r="U105" s="246"/>
      <c r="V105" s="246"/>
      <c r="W105" s="246"/>
      <c r="X105" s="246"/>
      <c r="Y105" s="246"/>
      <c r="Z105" s="246"/>
      <c r="AA105" s="1943"/>
      <c r="AB105" s="1288"/>
      <c r="AC105" s="1281"/>
      <c r="AD105" s="1281"/>
      <c r="AE105" s="1281"/>
      <c r="AF105" s="1289"/>
      <c r="AG105" s="1319"/>
      <c r="AH105" s="1319"/>
      <c r="AI105" s="1319"/>
      <c r="AJ105" s="1319"/>
      <c r="AK105" s="1319"/>
      <c r="AL105" s="1319"/>
      <c r="AM105" s="1319"/>
      <c r="AN105" s="1320"/>
    </row>
    <row r="106" spans="2:40" ht="15" customHeight="1">
      <c r="B106" s="1304" t="s">
        <v>388</v>
      </c>
      <c r="C106" s="1300" t="str">
        <f ca="1">'LAMPIRAN'!B126</f>
        <v/>
      </c>
      <c r="D106" s="1302"/>
      <c r="E106" s="2604" t="str">
        <f ca="1">'LAMPIRAN'!D126</f>
        <v/>
      </c>
      <c r="F106" s="2146"/>
      <c r="G106" s="2146"/>
      <c r="H106" s="2146"/>
      <c r="I106" s="2146"/>
      <c r="J106" s="2146"/>
      <c r="K106" s="2146"/>
      <c r="L106" s="2146"/>
      <c r="M106" s="2146"/>
      <c r="N106" s="2146"/>
      <c r="O106" s="2147"/>
      <c r="P106" s="1869"/>
      <c r="Q106" s="1870"/>
      <c r="R106" s="1870"/>
      <c r="S106" s="1870"/>
      <c r="T106" s="1870"/>
      <c r="U106" s="1870"/>
      <c r="V106" s="1870"/>
      <c r="W106" s="1870"/>
      <c r="X106" s="1870"/>
      <c r="Y106" s="1870"/>
      <c r="Z106" s="1870"/>
      <c r="AA106" s="2117"/>
      <c r="AB106" s="2134" t="str">
        <f ca="1">'LAMPIRAN'!T126</f>
        <v/>
      </c>
      <c r="AC106" s="2135"/>
      <c r="AD106" s="2135"/>
      <c r="AE106" s="2135"/>
      <c r="AF106" s="2136"/>
      <c r="AG106" s="2605" t="str">
        <f ca="1">'LAMPIRAN'!X126</f>
        <v/>
      </c>
      <c r="AH106" s="2606"/>
      <c r="AI106" s="2606"/>
      <c r="AJ106" s="2606"/>
      <c r="AK106" s="2606"/>
      <c r="AL106" s="2606"/>
      <c r="AM106" s="2606"/>
      <c r="AN106" s="1385"/>
    </row>
    <row r="107" spans="2:40" ht="12" customHeight="1">
      <c r="B107" s="1294"/>
      <c r="C107" s="746"/>
      <c r="D107" s="747"/>
      <c r="E107" s="373"/>
      <c r="F107" s="374"/>
      <c r="G107" s="374"/>
      <c r="H107" s="374"/>
      <c r="I107" s="374"/>
      <c r="J107" s="374"/>
      <c r="K107" s="374"/>
      <c r="L107" s="374"/>
      <c r="M107" s="374"/>
      <c r="N107" s="374"/>
      <c r="O107" s="375"/>
      <c r="P107" s="376"/>
      <c r="Q107" s="246"/>
      <c r="R107" s="246"/>
      <c r="S107" s="246"/>
      <c r="T107" s="246"/>
      <c r="U107" s="246"/>
      <c r="V107" s="246"/>
      <c r="W107" s="246"/>
      <c r="X107" s="246"/>
      <c r="Y107" s="246"/>
      <c r="Z107" s="246"/>
      <c r="AA107" s="1943"/>
      <c r="AB107" s="1288"/>
      <c r="AC107" s="1281"/>
      <c r="AD107" s="1281"/>
      <c r="AE107" s="1281"/>
      <c r="AF107" s="1289"/>
      <c r="AG107" s="2607"/>
      <c r="AH107" s="1319"/>
      <c r="AI107" s="1319"/>
      <c r="AJ107" s="1319"/>
      <c r="AK107" s="1319"/>
      <c r="AL107" s="1319"/>
      <c r="AM107" s="1319"/>
      <c r="AN107" s="1320"/>
    </row>
    <row r="108" spans="2:40" ht="3" customHeight="1">
      <c r="B108" s="141"/>
      <c r="C108" s="591"/>
      <c r="D108" s="1321"/>
      <c r="E108" s="374"/>
      <c r="F108" s="374"/>
      <c r="G108" s="374"/>
      <c r="H108" s="374"/>
      <c r="I108" s="374"/>
      <c r="J108" s="374"/>
      <c r="K108" s="374"/>
      <c r="L108" s="374"/>
      <c r="M108" s="374"/>
      <c r="N108" s="374"/>
      <c r="O108" s="375"/>
      <c r="P108" s="376"/>
      <c r="Q108" s="246"/>
      <c r="R108" s="246"/>
      <c r="S108" s="246"/>
      <c r="T108" s="246"/>
      <c r="U108" s="246"/>
      <c r="V108" s="246"/>
      <c r="W108" s="246"/>
      <c r="X108" s="246"/>
      <c r="Y108" s="246"/>
      <c r="Z108" s="246"/>
      <c r="AA108" s="1943"/>
      <c r="AB108" s="1288"/>
      <c r="AC108" s="1281"/>
      <c r="AD108" s="1281"/>
      <c r="AE108" s="1281"/>
      <c r="AF108" s="1289"/>
      <c r="AG108" s="1319"/>
      <c r="AH108" s="1319"/>
      <c r="AI108" s="1319"/>
      <c r="AJ108" s="1319"/>
      <c r="AK108" s="1319"/>
      <c r="AL108" s="1319"/>
      <c r="AM108" s="1319"/>
      <c r="AN108" s="1320"/>
    </row>
    <row r="109" spans="2:40" ht="15" customHeight="1">
      <c r="B109" s="1304" t="s">
        <v>389</v>
      </c>
      <c r="C109" s="1869" t="str">
        <f ca="1">'LAMPIRAN'!B127</f>
        <v/>
      </c>
      <c r="D109" s="2117"/>
      <c r="E109" s="2562" t="str">
        <f ca="1">'LAMPIRAN'!D127</f>
        <v/>
      </c>
      <c r="F109" s="2563"/>
      <c r="G109" s="2563"/>
      <c r="H109" s="2563"/>
      <c r="I109" s="2563"/>
      <c r="J109" s="2563"/>
      <c r="K109" s="2563"/>
      <c r="L109" s="2563"/>
      <c r="M109" s="2563"/>
      <c r="N109" s="2563"/>
      <c r="O109" s="2564"/>
      <c r="P109" s="1869"/>
      <c r="Q109" s="1870"/>
      <c r="R109" s="1870"/>
      <c r="S109" s="1870"/>
      <c r="T109" s="1870"/>
      <c r="U109" s="1870"/>
      <c r="V109" s="1870"/>
      <c r="W109" s="1870"/>
      <c r="X109" s="1870"/>
      <c r="Y109" s="1870"/>
      <c r="Z109" s="1870"/>
      <c r="AA109" s="2117"/>
      <c r="AB109" s="2134" t="str">
        <f ca="1">'LAMPIRAN'!T127</f>
        <v/>
      </c>
      <c r="AC109" s="2135"/>
      <c r="AD109" s="2135"/>
      <c r="AE109" s="2135"/>
      <c r="AF109" s="2136"/>
      <c r="AG109" s="2605" t="str">
        <f ca="1">'LAMPIRAN'!X127</f>
        <v/>
      </c>
      <c r="AH109" s="2606"/>
      <c r="AI109" s="2606"/>
      <c r="AJ109" s="2606"/>
      <c r="AK109" s="2606"/>
      <c r="AL109" s="2606"/>
      <c r="AM109" s="2606"/>
      <c r="AN109" s="1385"/>
    </row>
    <row r="110" spans="2:40" ht="12.75" customHeight="1">
      <c r="B110" s="1294"/>
      <c r="C110" s="376"/>
      <c r="D110" s="1943"/>
      <c r="E110" s="2603"/>
      <c r="F110" s="774"/>
      <c r="G110" s="774"/>
      <c r="H110" s="774"/>
      <c r="I110" s="774"/>
      <c r="J110" s="774"/>
      <c r="K110" s="774"/>
      <c r="L110" s="774"/>
      <c r="M110" s="774"/>
      <c r="N110" s="774"/>
      <c r="O110" s="775"/>
      <c r="P110" s="376"/>
      <c r="Q110" s="246"/>
      <c r="R110" s="246"/>
      <c r="S110" s="246"/>
      <c r="T110" s="246"/>
      <c r="U110" s="246"/>
      <c r="V110" s="246"/>
      <c r="W110" s="246"/>
      <c r="X110" s="246"/>
      <c r="Y110" s="246"/>
      <c r="Z110" s="246"/>
      <c r="AA110" s="1943"/>
      <c r="AB110" s="1288"/>
      <c r="AC110" s="1281"/>
      <c r="AD110" s="1281"/>
      <c r="AE110" s="1281"/>
      <c r="AF110" s="1289"/>
      <c r="AG110" s="2607"/>
      <c r="AH110" s="1319"/>
      <c r="AI110" s="1319"/>
      <c r="AJ110" s="1319"/>
      <c r="AK110" s="1319"/>
      <c r="AL110" s="1319"/>
      <c r="AM110" s="1319"/>
      <c r="AN110" s="1320"/>
    </row>
    <row r="111" spans="2:40" ht="3" customHeight="1">
      <c r="B111" s="141"/>
      <c r="C111" s="589"/>
      <c r="D111" s="258"/>
      <c r="E111" s="1312"/>
      <c r="F111" s="1312"/>
      <c r="G111" s="1312"/>
      <c r="H111" s="1312"/>
      <c r="I111" s="1312"/>
      <c r="J111" s="1312"/>
      <c r="K111" s="1312"/>
      <c r="L111" s="1312"/>
      <c r="M111" s="1312"/>
      <c r="N111" s="1312"/>
      <c r="O111" s="1313"/>
      <c r="P111" s="376"/>
      <c r="Q111" s="246"/>
      <c r="R111" s="246"/>
      <c r="S111" s="246"/>
      <c r="T111" s="246"/>
      <c r="U111" s="246"/>
      <c r="V111" s="246"/>
      <c r="W111" s="246"/>
      <c r="X111" s="246"/>
      <c r="Y111" s="246"/>
      <c r="Z111" s="246"/>
      <c r="AA111" s="1943"/>
      <c r="AB111" s="1288"/>
      <c r="AC111" s="1281"/>
      <c r="AD111" s="1281"/>
      <c r="AE111" s="1281"/>
      <c r="AF111" s="1289"/>
      <c r="AG111" s="1319"/>
      <c r="AH111" s="1319"/>
      <c r="AI111" s="1319"/>
      <c r="AJ111" s="1319"/>
      <c r="AK111" s="1319"/>
      <c r="AL111" s="1319"/>
      <c r="AM111" s="1319"/>
      <c r="AN111" s="1320"/>
    </row>
    <row r="112" spans="2:40" ht="15" customHeight="1">
      <c r="B112" s="1304" t="s">
        <v>390</v>
      </c>
      <c r="C112" s="1394"/>
      <c r="D112" s="262"/>
      <c r="E112" s="1314"/>
      <c r="F112" s="1314"/>
      <c r="G112" s="1314"/>
      <c r="H112" s="1314"/>
      <c r="I112" s="1314"/>
      <c r="J112" s="1314"/>
      <c r="K112" s="1314"/>
      <c r="L112" s="1314"/>
      <c r="M112" s="1314"/>
      <c r="N112" s="1314"/>
      <c r="O112" s="1315"/>
      <c r="P112" s="1869"/>
      <c r="Q112" s="1870"/>
      <c r="R112" s="1870"/>
      <c r="S112" s="1870"/>
      <c r="T112" s="1870"/>
      <c r="U112" s="1870"/>
      <c r="V112" s="1870"/>
      <c r="W112" s="1870"/>
      <c r="X112" s="1870"/>
      <c r="Y112" s="1870"/>
      <c r="Z112" s="1870"/>
      <c r="AA112" s="2117"/>
      <c r="AB112" s="2134"/>
      <c r="AC112" s="2135"/>
      <c r="AD112" s="2135"/>
      <c r="AE112" s="2135"/>
      <c r="AF112" s="2136"/>
      <c r="AG112" s="2605"/>
      <c r="AH112" s="2606"/>
      <c r="AI112" s="2606"/>
      <c r="AJ112" s="2606"/>
      <c r="AK112" s="2606"/>
      <c r="AL112" s="2606"/>
      <c r="AM112" s="2606"/>
      <c r="AN112" s="1385"/>
    </row>
    <row r="113" spans="2:40" ht="13.5" customHeight="1">
      <c r="B113" s="1294" t="s">
        <v>129</v>
      </c>
      <c r="C113" s="589"/>
      <c r="D113" s="258"/>
      <c r="E113" s="1312"/>
      <c r="F113" s="1312"/>
      <c r="G113" s="1312"/>
      <c r="H113" s="1312"/>
      <c r="I113" s="1312"/>
      <c r="J113" s="1312"/>
      <c r="K113" s="1312"/>
      <c r="L113" s="1312"/>
      <c r="M113" s="1312"/>
      <c r="N113" s="1312"/>
      <c r="O113" s="1313"/>
      <c r="P113" s="376"/>
      <c r="Q113" s="246"/>
      <c r="R113" s="246"/>
      <c r="S113" s="246"/>
      <c r="T113" s="246"/>
      <c r="U113" s="246"/>
      <c r="V113" s="246"/>
      <c r="W113" s="246"/>
      <c r="X113" s="246"/>
      <c r="Y113" s="246"/>
      <c r="Z113" s="246"/>
      <c r="AA113" s="1943"/>
      <c r="AB113" s="1288"/>
      <c r="AC113" s="1281"/>
      <c r="AD113" s="1281"/>
      <c r="AE113" s="1281"/>
      <c r="AF113" s="1289"/>
      <c r="AG113" s="2607"/>
      <c r="AH113" s="1319"/>
      <c r="AI113" s="1319"/>
      <c r="AJ113" s="1319"/>
      <c r="AK113" s="1319"/>
      <c r="AL113" s="1319"/>
      <c r="AM113" s="1319"/>
      <c r="AN113" s="1320"/>
    </row>
    <row r="114" spans="2:40" ht="3" customHeight="1">
      <c r="B114" s="1293"/>
      <c r="C114" s="635"/>
      <c r="D114" s="261"/>
      <c r="E114" s="636"/>
      <c r="F114" s="636"/>
      <c r="G114" s="636"/>
      <c r="H114" s="636"/>
      <c r="I114" s="636"/>
      <c r="J114" s="636"/>
      <c r="K114" s="636"/>
      <c r="L114" s="636"/>
      <c r="M114" s="636"/>
      <c r="N114" s="636"/>
      <c r="O114" s="261"/>
      <c r="P114" s="377"/>
      <c r="Q114" s="1871"/>
      <c r="R114" s="1871"/>
      <c r="S114" s="1871"/>
      <c r="T114" s="1871"/>
      <c r="U114" s="1871"/>
      <c r="V114" s="1871"/>
      <c r="W114" s="1871"/>
      <c r="X114" s="1871"/>
      <c r="Y114" s="1871"/>
      <c r="Z114" s="1871"/>
      <c r="AA114" s="1944"/>
      <c r="AB114" s="635"/>
      <c r="AC114" s="636"/>
      <c r="AD114" s="636"/>
      <c r="AE114" s="636"/>
      <c r="AF114" s="261"/>
      <c r="AG114" s="1437"/>
      <c r="AH114" s="1437"/>
      <c r="AI114" s="1437"/>
      <c r="AJ114" s="1437"/>
      <c r="AK114" s="1437"/>
      <c r="AL114" s="1437"/>
      <c r="AM114" s="1437"/>
      <c r="AN114" s="1438"/>
    </row>
    <row r="115" spans="2:40" ht="15" customHeight="1">
      <c r="B115" s="146"/>
      <c r="C115" s="142" t="s">
        <v>120</v>
      </c>
      <c r="D115" s="1307"/>
      <c r="E115" s="1307"/>
      <c r="F115" s="1307"/>
      <c r="G115" s="1307"/>
      <c r="H115" s="1307"/>
      <c r="I115" s="1307"/>
      <c r="J115" s="1307"/>
      <c r="K115" s="1307"/>
      <c r="L115" s="1307"/>
      <c r="M115" s="1307"/>
      <c r="N115" s="1307"/>
      <c r="O115" s="1307"/>
      <c r="P115" s="1307"/>
      <c r="Q115" s="1307"/>
      <c r="R115" s="1307"/>
      <c r="S115" s="1307"/>
      <c r="T115" s="1307"/>
      <c r="U115" s="1307"/>
      <c r="V115" s="1307"/>
      <c r="W115" s="1307"/>
      <c r="X115" s="1307"/>
      <c r="Y115" s="1307"/>
      <c r="Z115" s="1307"/>
      <c r="AA115" s="1895"/>
      <c r="AB115" s="190"/>
      <c r="AC115" s="183"/>
      <c r="AD115" s="183"/>
      <c r="AE115" s="142" t="s">
        <v>119</v>
      </c>
      <c r="AF115" s="1895"/>
      <c r="AG115" s="2608">
        <f ca="1">SUM(AG100:AN113)</f>
        <v>0</v>
      </c>
      <c r="AH115" s="2609"/>
      <c r="AI115" s="2609"/>
      <c r="AJ115" s="2609"/>
      <c r="AK115" s="2609"/>
      <c r="AL115" s="2609"/>
      <c r="AM115" s="2609"/>
      <c r="AN115" s="253"/>
    </row>
    <row r="116" spans="2:40" ht="3.75" customHeight="1">
      <c r="B116" s="153"/>
      <c r="C116" s="141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297"/>
      <c r="AB116" s="188"/>
      <c r="AC116" s="97"/>
      <c r="AD116" s="97"/>
      <c r="AE116" s="141"/>
      <c r="AF116" s="297"/>
      <c r="AG116" s="2610"/>
      <c r="AH116" s="2611"/>
      <c r="AI116" s="2611"/>
      <c r="AJ116" s="2611"/>
      <c r="AK116" s="2611"/>
      <c r="AL116" s="2611"/>
      <c r="AM116" s="2611"/>
      <c r="AN116" s="254"/>
    </row>
    <row r="117" spans="2:40" ht="3" customHeight="1">
      <c r="B117" s="177"/>
      <c r="C117" s="1293"/>
      <c r="D117" s="1901"/>
      <c r="E117" s="1901"/>
      <c r="F117" s="1901"/>
      <c r="G117" s="1901"/>
      <c r="H117" s="1901"/>
      <c r="I117" s="1901"/>
      <c r="J117" s="1901"/>
      <c r="K117" s="1901"/>
      <c r="L117" s="1901"/>
      <c r="M117" s="1901"/>
      <c r="N117" s="1901"/>
      <c r="O117" s="1901"/>
      <c r="P117" s="1901"/>
      <c r="Q117" s="1901"/>
      <c r="R117" s="1901"/>
      <c r="S117" s="1901"/>
      <c r="T117" s="1901"/>
      <c r="U117" s="1901"/>
      <c r="V117" s="1901"/>
      <c r="W117" s="1901"/>
      <c r="X117" s="1901"/>
      <c r="Y117" s="1901"/>
      <c r="Z117" s="1901"/>
      <c r="AA117" s="1896"/>
      <c r="AB117" s="189"/>
      <c r="AC117" s="186"/>
      <c r="AD117" s="186"/>
      <c r="AE117" s="1293"/>
      <c r="AF117" s="1896"/>
      <c r="AG117" s="152"/>
      <c r="AH117" s="187"/>
      <c r="AI117" s="172"/>
      <c r="AJ117" s="43"/>
      <c r="AK117" s="172"/>
      <c r="AL117" s="172"/>
      <c r="AM117" s="172"/>
      <c r="AN117" s="173"/>
    </row>
    <row r="118" spans="2:40" ht="6.75" customHeight="1">
      <c r="B118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11"/>
      <c r="AC118" s="11"/>
      <c r="AD118" s="11"/>
      <c r="AE118" s="67"/>
      <c r="AF118" s="67"/>
      <c r="AG118" s="66"/>
      <c r="AH118"/>
      <c r="AI118"/>
      <c r="AJ118" s="4"/>
      <c r="AK118"/>
      <c r="AL118"/>
      <c r="AM118"/>
      <c r="AN118"/>
    </row>
    <row r="119" spans="2:40" ht="3" customHeight="1">
      <c r="B119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11"/>
      <c r="AC119" s="11"/>
      <c r="AD119" s="11"/>
      <c r="AE119" s="67"/>
      <c r="AF119" s="67"/>
      <c r="AG119" s="66"/>
      <c r="AH119"/>
      <c r="AI119"/>
      <c r="AJ119" s="4"/>
      <c r="AK119"/>
      <c r="AL119"/>
      <c r="AM119"/>
      <c r="AN119"/>
    </row>
    <row r="120" spans="2:40" ht="13.5" customHeight="1">
      <c r="B120" s="71"/>
      <c r="C120" s="72" t="s">
        <v>447</v>
      </c>
      <c r="D120" s="72"/>
      <c r="E120" s="15"/>
      <c r="F120" s="72" t="s">
        <v>26</v>
      </c>
      <c r="G120" s="78" t="s">
        <v>430</v>
      </c>
      <c r="H120" s="15"/>
      <c r="I120" s="72"/>
      <c r="J120" s="72"/>
      <c r="K120" s="72"/>
      <c r="L120" s="79"/>
      <c r="M120" s="4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7"/>
      <c r="AC120" s="11"/>
      <c r="AD120" s="4"/>
      <c r="AE120" s="4"/>
      <c r="AF120" s="4"/>
      <c r="AG120" s="4"/>
      <c r="AH120" s="4"/>
      <c r="AI120" s="4"/>
      <c r="AJ120"/>
      <c r="AK120"/>
      <c r="AL120"/>
      <c r="AM120"/>
      <c r="AN120"/>
    </row>
    <row r="121" spans="2:40" ht="3" customHeight="1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4"/>
      <c r="AE121" s="4"/>
      <c r="AF121" s="4"/>
      <c r="AG121" s="4"/>
      <c r="AH121" s="4"/>
      <c r="AI121" s="4"/>
      <c r="AJ121"/>
      <c r="AK121"/>
      <c r="AL121"/>
      <c r="AM121"/>
      <c r="AN121"/>
    </row>
    <row r="122" spans="2:40" ht="3" customHeight="1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4"/>
      <c r="AE122" s="4"/>
      <c r="AF122" s="4"/>
      <c r="AG122" s="4"/>
      <c r="AH122" s="4"/>
      <c r="AI122" s="4"/>
      <c r="AJ122"/>
      <c r="AK122"/>
      <c r="AL122"/>
      <c r="AM122"/>
      <c r="AN122"/>
    </row>
    <row r="123" spans="2:40" ht="9.75" customHeight="1">
      <c r="B123" s="2591" t="s">
        <v>76</v>
      </c>
      <c r="C123" s="142" t="s">
        <v>104</v>
      </c>
      <c r="D123" s="1307"/>
      <c r="E123" s="1307"/>
      <c r="F123" s="1307"/>
      <c r="G123" s="1307"/>
      <c r="H123" s="1307"/>
      <c r="I123" s="1307"/>
      <c r="J123" s="1307"/>
      <c r="K123" s="1307"/>
      <c r="L123" s="1307"/>
      <c r="M123" s="1307"/>
      <c r="N123" s="1307"/>
      <c r="O123" s="1895"/>
      <c r="P123" s="142" t="s">
        <v>873</v>
      </c>
      <c r="Q123" s="2612"/>
      <c r="R123" s="2612"/>
      <c r="S123" s="2612"/>
      <c r="T123" s="2612"/>
      <c r="U123" s="2612"/>
      <c r="V123" s="2612"/>
      <c r="W123" s="2613"/>
      <c r="X123" s="142" t="s">
        <v>448</v>
      </c>
      <c r="Y123" s="1307"/>
      <c r="Z123" s="1307"/>
      <c r="AA123" s="1307"/>
      <c r="AB123" s="1307"/>
      <c r="AC123" s="1307"/>
      <c r="AD123" s="1307"/>
      <c r="AE123" s="1307"/>
      <c r="AF123" s="1895"/>
      <c r="AG123" s="142" t="s">
        <v>28</v>
      </c>
      <c r="AH123" s="1307"/>
      <c r="AI123" s="1307"/>
      <c r="AJ123" s="1307"/>
      <c r="AK123" s="1307"/>
      <c r="AL123" s="1307"/>
      <c r="AM123" s="1307"/>
      <c r="AN123" s="1895"/>
    </row>
    <row r="124" spans="2:40" ht="8.25" customHeight="1">
      <c r="B124" s="2540"/>
      <c r="C124" s="141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297"/>
      <c r="P124" s="307"/>
      <c r="Q124" s="113"/>
      <c r="R124" s="113"/>
      <c r="S124" s="113"/>
      <c r="T124" s="113"/>
      <c r="U124" s="113"/>
      <c r="V124" s="113"/>
      <c r="W124" s="2614"/>
      <c r="X124" s="141"/>
      <c r="Y124" s="67"/>
      <c r="Z124" s="67"/>
      <c r="AA124" s="67"/>
      <c r="AB124" s="67"/>
      <c r="AC124" s="67"/>
      <c r="AD124" s="67"/>
      <c r="AE124" s="67"/>
      <c r="AF124" s="297"/>
      <c r="AG124" s="141"/>
      <c r="AH124" s="67"/>
      <c r="AI124" s="67"/>
      <c r="AJ124" s="67"/>
      <c r="AK124" s="67"/>
      <c r="AL124" s="67"/>
      <c r="AM124" s="67"/>
      <c r="AN124" s="297"/>
    </row>
    <row r="125" spans="2:40" ht="3" customHeight="1">
      <c r="B125" s="2540"/>
      <c r="C125" s="1293"/>
      <c r="D125" s="1901"/>
      <c r="E125" s="1901"/>
      <c r="F125" s="1901"/>
      <c r="G125" s="1901"/>
      <c r="H125" s="1901"/>
      <c r="I125" s="1901"/>
      <c r="J125" s="1901"/>
      <c r="K125" s="1901"/>
      <c r="L125" s="1901"/>
      <c r="M125" s="1901"/>
      <c r="N125" s="1901"/>
      <c r="O125" s="1896"/>
      <c r="P125" s="2615"/>
      <c r="Q125" s="2616"/>
      <c r="R125" s="2616"/>
      <c r="S125" s="2616"/>
      <c r="T125" s="2616"/>
      <c r="U125" s="2616"/>
      <c r="V125" s="2616"/>
      <c r="W125" s="2617"/>
      <c r="X125" s="1293"/>
      <c r="Y125" s="1901"/>
      <c r="Z125" s="1901"/>
      <c r="AA125" s="1901"/>
      <c r="AB125" s="1901"/>
      <c r="AC125" s="1901"/>
      <c r="AD125" s="1901"/>
      <c r="AE125" s="1901"/>
      <c r="AF125" s="1896"/>
      <c r="AG125" s="1293"/>
      <c r="AH125" s="1901"/>
      <c r="AI125" s="1901"/>
      <c r="AJ125" s="1901"/>
      <c r="AK125" s="1901"/>
      <c r="AL125" s="1901"/>
      <c r="AM125" s="1901"/>
      <c r="AN125" s="1896"/>
    </row>
    <row r="126" spans="2:40" s="16" customFormat="1" ht="15" customHeight="1">
      <c r="B126" s="145" t="s">
        <v>65</v>
      </c>
      <c r="C126" s="145" t="s">
        <v>64</v>
      </c>
      <c r="D126" s="1861"/>
      <c r="E126" s="1861"/>
      <c r="F126" s="1861"/>
      <c r="G126" s="1861"/>
      <c r="H126" s="1861"/>
      <c r="I126" s="1861"/>
      <c r="J126" s="1861"/>
      <c r="K126" s="1861"/>
      <c r="L126" s="1861"/>
      <c r="M126" s="1861"/>
      <c r="N126" s="1861"/>
      <c r="O126" s="1862"/>
      <c r="P126" s="145" t="s">
        <v>66</v>
      </c>
      <c r="Q126" s="1861"/>
      <c r="R126" s="1861"/>
      <c r="S126" s="1861"/>
      <c r="T126" s="1861"/>
      <c r="U126" s="1861"/>
      <c r="V126" s="1861"/>
      <c r="W126" s="1862"/>
      <c r="X126" s="145" t="s">
        <v>67</v>
      </c>
      <c r="Y126" s="1861"/>
      <c r="Z126" s="1861"/>
      <c r="AA126" s="1861"/>
      <c r="AB126" s="1861"/>
      <c r="AC126" s="1861"/>
      <c r="AD126" s="1861"/>
      <c r="AE126" s="1861"/>
      <c r="AF126" s="1862"/>
      <c r="AG126" s="1861" t="s">
        <v>68</v>
      </c>
      <c r="AH126" s="1861"/>
      <c r="AI126" s="1861"/>
      <c r="AJ126" s="1861"/>
      <c r="AK126" s="1861"/>
      <c r="AL126" s="1861"/>
      <c r="AM126" s="1861"/>
      <c r="AN126" s="1862"/>
    </row>
    <row r="127" spans="2:40" ht="15" customHeight="1">
      <c r="B127" s="1304" t="s">
        <v>386</v>
      </c>
      <c r="C127" s="2118" t="str">
        <f>IF('GENERAL INFO'!C71="","-",'GENERAL INFO'!C71)</f>
        <v>-</v>
      </c>
      <c r="D127" s="1314"/>
      <c r="E127" s="1314"/>
      <c r="F127" s="1314"/>
      <c r="G127" s="1314"/>
      <c r="H127" s="1314"/>
      <c r="I127" s="1314"/>
      <c r="J127" s="1314"/>
      <c r="K127" s="1314"/>
      <c r="L127" s="1314"/>
      <c r="M127" s="1314"/>
      <c r="N127" s="1314"/>
      <c r="O127" s="1315"/>
      <c r="P127" s="2148" t="str">
        <f>IF('GENERAL INFO'!J71="","-",'GENERAL INFO'!J71)</f>
        <v>-</v>
      </c>
      <c r="Q127" s="2149"/>
      <c r="R127" s="2149"/>
      <c r="S127" s="2149"/>
      <c r="T127" s="2149"/>
      <c r="U127" s="2149"/>
      <c r="V127" s="2149"/>
      <c r="W127" s="2150"/>
      <c r="X127" s="2154" t="str">
        <f>IF('GENERAL INFO'!E71="","-",IF('GENERAL INFO'!E71="Wife","Istri",IF('GENERAL INFO'!E71="Child","Anak",IF('GENERAL INFO'!E71="Brother/sister","Saudara",IF('GENERAL INFO'!E71="Husband","Suami","Saudara lainnya")))))</f>
        <v>-</v>
      </c>
      <c r="Y127" s="2155"/>
      <c r="Z127" s="2155"/>
      <c r="AA127" s="2155"/>
      <c r="AB127" s="2155"/>
      <c r="AC127" s="2155"/>
      <c r="AD127" s="2155"/>
      <c r="AE127" s="2155"/>
      <c r="AF127" s="2156"/>
      <c r="AG127" s="2163" t="str">
        <f>IF('GENERAL INFO'!N71="","-",IF('GENERAL INFO'!N71="Housewife","Ibu Rumah Tangga",IF('GENERAL INFO'!N71="Employee","Karyawan",IF('GENERAL INFO'!N71="Student","Pelajar","-"))))</f>
        <v>-</v>
      </c>
      <c r="AH127" s="2164"/>
      <c r="AI127" s="2164"/>
      <c r="AJ127" s="2164"/>
      <c r="AK127" s="2164"/>
      <c r="AL127" s="2164"/>
      <c r="AM127" s="2164"/>
      <c r="AN127" s="253"/>
    </row>
    <row r="128" spans="2:40" ht="6" customHeight="1">
      <c r="B128" s="1294"/>
      <c r="C128" s="2119"/>
      <c r="D128" s="1312"/>
      <c r="E128" s="1312"/>
      <c r="F128" s="1312"/>
      <c r="G128" s="1312"/>
      <c r="H128" s="1312"/>
      <c r="I128" s="1312"/>
      <c r="J128" s="1312"/>
      <c r="K128" s="1312"/>
      <c r="L128" s="1312"/>
      <c r="M128" s="1312"/>
      <c r="N128" s="1312"/>
      <c r="O128" s="1313"/>
      <c r="P128" s="2151"/>
      <c r="Q128" s="2152"/>
      <c r="R128" s="2152"/>
      <c r="S128" s="2152"/>
      <c r="T128" s="2152"/>
      <c r="U128" s="2152"/>
      <c r="V128" s="2152"/>
      <c r="W128" s="2153"/>
      <c r="X128" s="2157"/>
      <c r="Y128" s="2158"/>
      <c r="Z128" s="2158"/>
      <c r="AA128" s="2158"/>
      <c r="AB128" s="2158"/>
      <c r="AC128" s="2158"/>
      <c r="AD128" s="2158"/>
      <c r="AE128" s="2158"/>
      <c r="AF128" s="2159"/>
      <c r="AG128" s="2165"/>
      <c r="AH128" s="2166"/>
      <c r="AI128" s="2166"/>
      <c r="AJ128" s="2166"/>
      <c r="AK128" s="2166"/>
      <c r="AL128" s="2166"/>
      <c r="AM128" s="2166"/>
      <c r="AN128" s="254"/>
    </row>
    <row r="129" spans="2:40" ht="3" customHeight="1">
      <c r="B129" s="141"/>
      <c r="C129" s="2119"/>
      <c r="D129" s="1312"/>
      <c r="E129" s="1312"/>
      <c r="F129" s="1312"/>
      <c r="G129" s="1312"/>
      <c r="H129" s="1312"/>
      <c r="I129" s="1312"/>
      <c r="J129" s="1312"/>
      <c r="K129" s="1312"/>
      <c r="L129" s="1312"/>
      <c r="M129" s="1312"/>
      <c r="N129" s="1312"/>
      <c r="O129" s="1313"/>
      <c r="P129" s="2151"/>
      <c r="Q129" s="2152"/>
      <c r="R129" s="2152"/>
      <c r="S129" s="2152"/>
      <c r="T129" s="2152"/>
      <c r="U129" s="2152"/>
      <c r="V129" s="2152"/>
      <c r="W129" s="2153"/>
      <c r="X129" s="2160"/>
      <c r="Y129" s="2161"/>
      <c r="Z129" s="2161"/>
      <c r="AA129" s="2161"/>
      <c r="AB129" s="2161"/>
      <c r="AC129" s="2161"/>
      <c r="AD129" s="2161"/>
      <c r="AE129" s="2161"/>
      <c r="AF129" s="2162"/>
      <c r="AG129" s="252"/>
      <c r="AH129" s="252"/>
      <c r="AI129" s="252"/>
      <c r="AJ129" s="252"/>
      <c r="AK129" s="252"/>
      <c r="AL129" s="252"/>
      <c r="AM129" s="252"/>
      <c r="AN129" s="283"/>
    </row>
    <row r="130" spans="2:40" ht="15" customHeight="1">
      <c r="B130" s="1304" t="s">
        <v>387</v>
      </c>
      <c r="C130" s="590" t="str">
        <f>IF('GENERAL INFO'!C72="","-",'GENERAL INFO'!C72)</f>
        <v>-</v>
      </c>
      <c r="D130" s="634"/>
      <c r="E130" s="634"/>
      <c r="F130" s="634"/>
      <c r="G130" s="634"/>
      <c r="H130" s="634"/>
      <c r="I130" s="634"/>
      <c r="J130" s="634"/>
      <c r="K130" s="634"/>
      <c r="L130" s="634"/>
      <c r="M130" s="634"/>
      <c r="N130" s="634"/>
      <c r="O130" s="1349"/>
      <c r="P130" s="2148" t="str">
        <f>IF('GENERAL INFO'!J72="","-",'GENERAL INFO'!J72)</f>
        <v>-</v>
      </c>
      <c r="Q130" s="2149"/>
      <c r="R130" s="2149"/>
      <c r="S130" s="2149"/>
      <c r="T130" s="2149"/>
      <c r="U130" s="2149"/>
      <c r="V130" s="2149"/>
      <c r="W130" s="2150"/>
      <c r="X130" s="1869" t="str">
        <f>IF('GENERAL INFO'!E72="","-",IF('GENERAL INFO'!E72="Wife","Istri",IF('GENERAL INFO'!E72="Child","Anak",IF('GENERAL INFO'!E72="Brother/sister","Saudara",IF('GENERAL INFO'!E72="Husband","Suami","Saudara lainnya")))))</f>
        <v>-</v>
      </c>
      <c r="Y130" s="1870"/>
      <c r="Z130" s="1870"/>
      <c r="AA130" s="1870"/>
      <c r="AB130" s="1870"/>
      <c r="AC130" s="1870"/>
      <c r="AD130" s="1870"/>
      <c r="AE130" s="1870"/>
      <c r="AF130" s="2117"/>
      <c r="AG130" s="1869" t="str">
        <f>IF('GENERAL INFO'!N72="","-",IF('GENERAL INFO'!N72="Housewife","Ibu Rumah Tangga",IF('GENERAL INFO'!N72="Employee","Karyawan",IF('GENERAL INFO'!N72="Student","Pelajar","-"))))</f>
        <v>-</v>
      </c>
      <c r="AH130" s="1870"/>
      <c r="AI130" s="1870"/>
      <c r="AJ130" s="1870"/>
      <c r="AK130" s="1870"/>
      <c r="AL130" s="1870"/>
      <c r="AM130" s="1870"/>
      <c r="AN130" s="1385"/>
    </row>
    <row r="131" spans="2:40" ht="6" customHeight="1">
      <c r="B131" s="1294"/>
      <c r="C131" s="591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1321"/>
      <c r="P131" s="2151"/>
      <c r="Q131" s="2152"/>
      <c r="R131" s="2152"/>
      <c r="S131" s="2152"/>
      <c r="T131" s="2152"/>
      <c r="U131" s="2152"/>
      <c r="V131" s="2152"/>
      <c r="W131" s="2153"/>
      <c r="X131" s="376"/>
      <c r="Y131" s="246"/>
      <c r="Z131" s="246"/>
      <c r="AA131" s="246"/>
      <c r="AB131" s="246"/>
      <c r="AC131" s="246"/>
      <c r="AD131" s="246"/>
      <c r="AE131" s="246"/>
      <c r="AF131" s="1943"/>
      <c r="AG131" s="376"/>
      <c r="AH131" s="246"/>
      <c r="AI131" s="246"/>
      <c r="AJ131" s="246"/>
      <c r="AK131" s="246"/>
      <c r="AL131" s="246"/>
      <c r="AM131" s="246"/>
      <c r="AN131" s="1320"/>
    </row>
    <row r="132" spans="2:40" ht="3" customHeight="1">
      <c r="B132" s="141"/>
      <c r="C132" s="591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1321"/>
      <c r="P132" s="2151"/>
      <c r="Q132" s="2152"/>
      <c r="R132" s="2152"/>
      <c r="S132" s="2152"/>
      <c r="T132" s="2152"/>
      <c r="U132" s="2152"/>
      <c r="V132" s="2152"/>
      <c r="W132" s="2153"/>
      <c r="X132" s="376"/>
      <c r="Y132" s="246"/>
      <c r="Z132" s="246"/>
      <c r="AA132" s="246"/>
      <c r="AB132" s="246"/>
      <c r="AC132" s="246"/>
      <c r="AD132" s="246"/>
      <c r="AE132" s="246"/>
      <c r="AF132" s="1943"/>
      <c r="AG132" s="246"/>
      <c r="AH132" s="246"/>
      <c r="AI132" s="246"/>
      <c r="AJ132" s="246"/>
      <c r="AK132" s="246"/>
      <c r="AL132" s="246"/>
      <c r="AM132" s="246"/>
      <c r="AN132" s="1320"/>
    </row>
    <row r="133" spans="2:40" ht="15" customHeight="1">
      <c r="B133" s="1304" t="s">
        <v>388</v>
      </c>
      <c r="C133" s="2659" t="str">
        <f>IF('GENERAL INFO'!C73="","-",'GENERAL INFO'!C73)</f>
        <v>-</v>
      </c>
      <c r="D133" s="2660"/>
      <c r="E133" s="2660"/>
      <c r="F133" s="2660"/>
      <c r="G133" s="2660"/>
      <c r="H133" s="2660"/>
      <c r="I133" s="2660"/>
      <c r="J133" s="2660"/>
      <c r="K133" s="2660"/>
      <c r="L133" s="2660"/>
      <c r="M133" s="2660"/>
      <c r="N133" s="2660"/>
      <c r="O133" s="2661"/>
      <c r="P133" s="2148" t="str">
        <f>IF('GENERAL INFO'!J73="","-",'GENERAL INFO'!J73)</f>
        <v>-</v>
      </c>
      <c r="Q133" s="2149"/>
      <c r="R133" s="2149"/>
      <c r="S133" s="2149"/>
      <c r="T133" s="2149"/>
      <c r="U133" s="2149"/>
      <c r="V133" s="2149"/>
      <c r="W133" s="2150"/>
      <c r="X133" s="1869" t="str">
        <f>IF('GENERAL INFO'!E73="","-",IF('GENERAL INFO'!E73="Wife","Istri",IF('GENERAL INFO'!E73="Child","Anak",IF('GENERAL INFO'!E73="Brother/sister","Saudara",IF('GENERAL INFO'!E73="Husband","Suami","Saudara lainnya")))))</f>
        <v>-</v>
      </c>
      <c r="Y133" s="1870"/>
      <c r="Z133" s="1870"/>
      <c r="AA133" s="1870"/>
      <c r="AB133" s="1870"/>
      <c r="AC133" s="1870"/>
      <c r="AD133" s="1870"/>
      <c r="AE133" s="1870"/>
      <c r="AF133" s="2117"/>
      <c r="AG133" s="1869" t="str">
        <f>IF('GENERAL INFO'!N73="","-",IF('GENERAL INFO'!N73="Housewife","Ibu Rumah Tangga",IF('GENERAL INFO'!N73="Employee","Karyawan",IF('GENERAL INFO'!N73="Student","Pelajar","-"))))</f>
        <v>-</v>
      </c>
      <c r="AH133" s="1870"/>
      <c r="AI133" s="1870"/>
      <c r="AJ133" s="1870"/>
      <c r="AK133" s="1870"/>
      <c r="AL133" s="1870"/>
      <c r="AM133" s="1870"/>
      <c r="AN133" s="1386"/>
    </row>
    <row r="134" spans="2:40" ht="6" customHeight="1">
      <c r="B134" s="1294"/>
      <c r="C134" s="2662"/>
      <c r="D134" s="2663"/>
      <c r="E134" s="2663"/>
      <c r="F134" s="2663"/>
      <c r="G134" s="2663"/>
      <c r="H134" s="2663"/>
      <c r="I134" s="2663"/>
      <c r="J134" s="2663"/>
      <c r="K134" s="2663"/>
      <c r="L134" s="2663"/>
      <c r="M134" s="2663"/>
      <c r="N134" s="2663"/>
      <c r="O134" s="2664"/>
      <c r="P134" s="2151"/>
      <c r="Q134" s="2152"/>
      <c r="R134" s="2152"/>
      <c r="S134" s="2152"/>
      <c r="T134" s="2152"/>
      <c r="U134" s="2152"/>
      <c r="V134" s="2152"/>
      <c r="W134" s="2153"/>
      <c r="X134" s="376"/>
      <c r="Y134" s="246"/>
      <c r="Z134" s="246"/>
      <c r="AA134" s="246"/>
      <c r="AB134" s="246"/>
      <c r="AC134" s="246"/>
      <c r="AD134" s="246"/>
      <c r="AE134" s="246"/>
      <c r="AF134" s="1943"/>
      <c r="AG134" s="376"/>
      <c r="AH134" s="246"/>
      <c r="AI134" s="246"/>
      <c r="AJ134" s="246"/>
      <c r="AK134" s="246"/>
      <c r="AL134" s="246"/>
      <c r="AM134" s="246"/>
      <c r="AN134" s="286"/>
    </row>
    <row r="135" spans="2:40" ht="3" customHeight="1">
      <c r="B135" s="141"/>
      <c r="C135" s="2662"/>
      <c r="D135" s="2663"/>
      <c r="E135" s="2663"/>
      <c r="F135" s="2663"/>
      <c r="G135" s="2663"/>
      <c r="H135" s="2663"/>
      <c r="I135" s="2663"/>
      <c r="J135" s="2663"/>
      <c r="K135" s="2663"/>
      <c r="L135" s="2663"/>
      <c r="M135" s="2663"/>
      <c r="N135" s="2663"/>
      <c r="O135" s="2664"/>
      <c r="P135" s="2151"/>
      <c r="Q135" s="2152"/>
      <c r="R135" s="2152"/>
      <c r="S135" s="2152"/>
      <c r="T135" s="2152"/>
      <c r="U135" s="2152"/>
      <c r="V135" s="2152"/>
      <c r="W135" s="2153"/>
      <c r="X135" s="376"/>
      <c r="Y135" s="246"/>
      <c r="Z135" s="246"/>
      <c r="AA135" s="246"/>
      <c r="AB135" s="246"/>
      <c r="AC135" s="246"/>
      <c r="AD135" s="246"/>
      <c r="AE135" s="246"/>
      <c r="AF135" s="1943"/>
      <c r="AG135" s="246"/>
      <c r="AH135" s="246"/>
      <c r="AI135" s="246"/>
      <c r="AJ135" s="246"/>
      <c r="AK135" s="246"/>
      <c r="AL135" s="246"/>
      <c r="AM135" s="246"/>
      <c r="AN135" s="762"/>
    </row>
    <row r="136" spans="2:40" ht="15" customHeight="1">
      <c r="B136" s="1304" t="s">
        <v>389</v>
      </c>
      <c r="C136" s="2659" t="str">
        <f>IF('GENERAL INFO'!C74="","-",'GENERAL INFO'!C74)</f>
        <v>-</v>
      </c>
      <c r="D136" s="2660"/>
      <c r="E136" s="2660"/>
      <c r="F136" s="2660"/>
      <c r="G136" s="2660"/>
      <c r="H136" s="2660"/>
      <c r="I136" s="2660"/>
      <c r="J136" s="2660"/>
      <c r="K136" s="2660"/>
      <c r="L136" s="2660"/>
      <c r="M136" s="2660"/>
      <c r="N136" s="2660"/>
      <c r="O136" s="2661"/>
      <c r="P136" s="2148" t="str">
        <f>IF('GENERAL INFO'!J74="","-",'GENERAL INFO'!J74)</f>
        <v>-</v>
      </c>
      <c r="Q136" s="2149"/>
      <c r="R136" s="2149"/>
      <c r="S136" s="2149"/>
      <c r="T136" s="2149"/>
      <c r="U136" s="2149"/>
      <c r="V136" s="2149"/>
      <c r="W136" s="2150"/>
      <c r="X136" s="1869" t="str">
        <f>IF('GENERAL INFO'!E74="","-",IF('GENERAL INFO'!E74="Wife","Istri",IF('GENERAL INFO'!E74="Child","Anak",IF('GENERAL INFO'!E74="Brother/sister","Saudara",IF('GENERAL INFO'!E74="Husband","Suami","Saudara lainnya")))))</f>
        <v>-</v>
      </c>
      <c r="Y136" s="1870"/>
      <c r="Z136" s="1870"/>
      <c r="AA136" s="1870"/>
      <c r="AB136" s="1870"/>
      <c r="AC136" s="1870"/>
      <c r="AD136" s="1870"/>
      <c r="AE136" s="1870"/>
      <c r="AF136" s="2117"/>
      <c r="AG136" s="1869" t="str">
        <f>IF('GENERAL INFO'!N74="","-",IF('GENERAL INFO'!N74="Housewife","Ibu Rumah Tangga",IF('GENERAL INFO'!N74="Employee","Karyawan",IF('GENERAL INFO'!N74="Student","Pelajar","-"))))</f>
        <v>-</v>
      </c>
      <c r="AH136" s="1870"/>
      <c r="AI136" s="1870"/>
      <c r="AJ136" s="1870"/>
      <c r="AK136" s="1870"/>
      <c r="AL136" s="1870"/>
      <c r="AM136" s="1870"/>
      <c r="AN136" s="1386"/>
    </row>
    <row r="137" spans="2:40" ht="3.75" customHeight="1">
      <c r="B137" s="1294"/>
      <c r="C137" s="2662"/>
      <c r="D137" s="2663"/>
      <c r="E137" s="2663"/>
      <c r="F137" s="2663"/>
      <c r="G137" s="2663"/>
      <c r="H137" s="2663"/>
      <c r="I137" s="2663"/>
      <c r="J137" s="2663"/>
      <c r="K137" s="2663"/>
      <c r="L137" s="2663"/>
      <c r="M137" s="2663"/>
      <c r="N137" s="2663"/>
      <c r="O137" s="2664"/>
      <c r="P137" s="2151"/>
      <c r="Q137" s="2152"/>
      <c r="R137" s="2152"/>
      <c r="S137" s="2152"/>
      <c r="T137" s="2152"/>
      <c r="U137" s="2152"/>
      <c r="V137" s="2152"/>
      <c r="W137" s="2153"/>
      <c r="X137" s="376"/>
      <c r="Y137" s="246"/>
      <c r="Z137" s="246"/>
      <c r="AA137" s="246"/>
      <c r="AB137" s="246"/>
      <c r="AC137" s="246"/>
      <c r="AD137" s="246"/>
      <c r="AE137" s="246"/>
      <c r="AF137" s="1943"/>
      <c r="AG137" s="376"/>
      <c r="AH137" s="246"/>
      <c r="AI137" s="246"/>
      <c r="AJ137" s="246"/>
      <c r="AK137" s="246"/>
      <c r="AL137" s="246"/>
      <c r="AM137" s="246"/>
      <c r="AN137" s="286"/>
    </row>
    <row r="138" spans="2:40" ht="3" customHeight="1">
      <c r="B138" s="141"/>
      <c r="C138" s="2662"/>
      <c r="D138" s="2663"/>
      <c r="E138" s="2663"/>
      <c r="F138" s="2663"/>
      <c r="G138" s="2663"/>
      <c r="H138" s="2663"/>
      <c r="I138" s="2663"/>
      <c r="J138" s="2663"/>
      <c r="K138" s="2663"/>
      <c r="L138" s="2663"/>
      <c r="M138" s="2663"/>
      <c r="N138" s="2663"/>
      <c r="O138" s="2664"/>
      <c r="P138" s="2151"/>
      <c r="Q138" s="2152"/>
      <c r="R138" s="2152"/>
      <c r="S138" s="2152"/>
      <c r="T138" s="2152"/>
      <c r="U138" s="2152"/>
      <c r="V138" s="2152"/>
      <c r="W138" s="2153"/>
      <c r="X138" s="376"/>
      <c r="Y138" s="246"/>
      <c r="Z138" s="246"/>
      <c r="AA138" s="246"/>
      <c r="AB138" s="246"/>
      <c r="AC138" s="246"/>
      <c r="AD138" s="246"/>
      <c r="AE138" s="246"/>
      <c r="AF138" s="1943"/>
      <c r="AG138" s="246"/>
      <c r="AH138" s="246"/>
      <c r="AI138" s="246"/>
      <c r="AJ138" s="246"/>
      <c r="AK138" s="246"/>
      <c r="AL138" s="246"/>
      <c r="AM138" s="246"/>
      <c r="AN138" s="762"/>
    </row>
    <row r="139" spans="2:40" ht="15" customHeight="1">
      <c r="B139" s="1304" t="s">
        <v>390</v>
      </c>
      <c r="C139" s="2659" t="str">
        <f>IF('GENERAL INFO'!C75="","-",'GENERAL INFO'!C75)</f>
        <v>-</v>
      </c>
      <c r="D139" s="2660"/>
      <c r="E139" s="2660"/>
      <c r="F139" s="2660"/>
      <c r="G139" s="2660"/>
      <c r="H139" s="2660"/>
      <c r="I139" s="2660"/>
      <c r="J139" s="2660"/>
      <c r="K139" s="2660"/>
      <c r="L139" s="2660"/>
      <c r="M139" s="2660"/>
      <c r="N139" s="2660"/>
      <c r="O139" s="2661"/>
      <c r="P139" s="2148" t="str">
        <f>IF('GENERAL INFO'!J75="","-",'GENERAL INFO'!J75)</f>
        <v>-</v>
      </c>
      <c r="Q139" s="2149"/>
      <c r="R139" s="2149"/>
      <c r="S139" s="2149"/>
      <c r="T139" s="2149"/>
      <c r="U139" s="2149"/>
      <c r="V139" s="2149"/>
      <c r="W139" s="2150"/>
      <c r="X139" s="1869" t="str">
        <f>IF('GENERAL INFO'!E75="","-",IF('GENERAL INFO'!E75="Wife","Istri",IF('GENERAL INFO'!E75="Child","Anak",IF('GENERAL INFO'!E75="Brother/sister","Saudara",IF('GENERAL INFO'!E75="Husband","Suami","Saudara lainnya")))))</f>
        <v>-</v>
      </c>
      <c r="Y139" s="1870"/>
      <c r="Z139" s="1870"/>
      <c r="AA139" s="1870"/>
      <c r="AB139" s="1870"/>
      <c r="AC139" s="1870"/>
      <c r="AD139" s="1870"/>
      <c r="AE139" s="1870"/>
      <c r="AF139" s="2117"/>
      <c r="AG139" s="1869" t="str">
        <f>IF('GENERAL INFO'!N75="","-",IF('GENERAL INFO'!N75="Housewife","Ibu Rumah Tangga",IF('GENERAL INFO'!N75="Employee","Karyawan",IF('GENERAL INFO'!N75="Student","Pelajar","-"))))</f>
        <v>-</v>
      </c>
      <c r="AH139" s="1870"/>
      <c r="AI139" s="1870"/>
      <c r="AJ139" s="1870"/>
      <c r="AK139" s="1870"/>
      <c r="AL139" s="1870"/>
      <c r="AM139" s="1870"/>
      <c r="AN139" s="1386"/>
    </row>
    <row r="140" spans="2:40" ht="3.75" customHeight="1">
      <c r="B140" s="1294"/>
      <c r="C140" s="2662"/>
      <c r="D140" s="2663"/>
      <c r="E140" s="2663"/>
      <c r="F140" s="2663"/>
      <c r="G140" s="2663"/>
      <c r="H140" s="2663"/>
      <c r="I140" s="2663"/>
      <c r="J140" s="2663"/>
      <c r="K140" s="2663"/>
      <c r="L140" s="2663"/>
      <c r="M140" s="2663"/>
      <c r="N140" s="2663"/>
      <c r="O140" s="2664"/>
      <c r="P140" s="2151"/>
      <c r="Q140" s="2152"/>
      <c r="R140" s="2152"/>
      <c r="S140" s="2152"/>
      <c r="T140" s="2152"/>
      <c r="U140" s="2152"/>
      <c r="V140" s="2152"/>
      <c r="W140" s="2153"/>
      <c r="X140" s="376"/>
      <c r="Y140" s="246"/>
      <c r="Z140" s="246"/>
      <c r="AA140" s="246"/>
      <c r="AB140" s="246"/>
      <c r="AC140" s="246"/>
      <c r="AD140" s="246"/>
      <c r="AE140" s="246"/>
      <c r="AF140" s="1943"/>
      <c r="AG140" s="376"/>
      <c r="AH140" s="246"/>
      <c r="AI140" s="246"/>
      <c r="AJ140" s="246"/>
      <c r="AK140" s="246"/>
      <c r="AL140" s="246"/>
      <c r="AM140" s="246"/>
      <c r="AN140" s="286"/>
    </row>
    <row r="141" spans="2:40" ht="3" customHeight="1">
      <c r="B141" s="1900"/>
      <c r="C141" s="2665"/>
      <c r="D141" s="2666"/>
      <c r="E141" s="2666"/>
      <c r="F141" s="2666"/>
      <c r="G141" s="2666"/>
      <c r="H141" s="2666"/>
      <c r="I141" s="2666"/>
      <c r="J141" s="2666"/>
      <c r="K141" s="2666"/>
      <c r="L141" s="2666"/>
      <c r="M141" s="2666"/>
      <c r="N141" s="2666"/>
      <c r="O141" s="2667"/>
      <c r="P141" s="2170"/>
      <c r="Q141" s="2171"/>
      <c r="R141" s="2171"/>
      <c r="S141" s="2171"/>
      <c r="T141" s="2171"/>
      <c r="U141" s="2171"/>
      <c r="V141" s="2171"/>
      <c r="W141" s="2172"/>
      <c r="X141" s="377"/>
      <c r="Y141" s="1871"/>
      <c r="Z141" s="1871"/>
      <c r="AA141" s="1871"/>
      <c r="AB141" s="1871"/>
      <c r="AC141" s="1871"/>
      <c r="AD141" s="1871"/>
      <c r="AE141" s="1871"/>
      <c r="AF141" s="1944"/>
      <c r="AG141" s="310"/>
      <c r="AH141" s="310"/>
      <c r="AI141" s="310"/>
      <c r="AJ141" s="310"/>
      <c r="AK141" s="310"/>
      <c r="AL141" s="310"/>
      <c r="AM141" s="310"/>
      <c r="AN141" s="311"/>
    </row>
    <row r="142" spans="2:40" customHeight="1" thickBot="1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</row>
    <row r="143" spans="2:36" ht="15" customHeight="1" thickBot="1">
      <c r="B143" s="316" t="s">
        <v>137</v>
      </c>
      <c r="C143" s="317"/>
      <c r="D143" s="317"/>
      <c r="E143" s="317"/>
      <c r="F143" s="317"/>
      <c r="G143" s="317"/>
      <c r="H143" s="317"/>
      <c r="I143" s="317"/>
      <c r="J143" s="317"/>
      <c r="K143" s="317"/>
      <c r="L143" s="317"/>
      <c r="M143" s="317"/>
      <c r="N143" s="317"/>
      <c r="O143" s="317"/>
      <c r="P143" s="317"/>
      <c r="Q143" s="317"/>
      <c r="R143" s="317"/>
      <c r="S143" s="318"/>
      <c r="T143" s="316"/>
      <c r="U143" s="318"/>
      <c r="V143" s="53"/>
      <c r="W143" s="53"/>
      <c r="X143" s="53"/>
      <c r="Y143" s="53"/>
      <c r="Z143" s="53"/>
      <c r="AC143" s="62" t="s">
        <v>141</v>
      </c>
      <c r="AD143" s="62"/>
      <c r="AE143" s="62"/>
      <c r="AF143"/>
      <c r="AG143" s="1387">
        <v>1</v>
      </c>
      <c r="AH143" s="58" t="s">
        <v>142</v>
      </c>
      <c r="AI143" s="1387">
        <v>1</v>
      </c>
      <c r="AJ143" s="62" t="s">
        <v>169</v>
      </c>
    </row>
    <row r="144" spans="1:41" customHeight="1">
      <c r="A144" s="1"/>
      <c r="B144" s="4"/>
      <c r="C144" s="4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O144" s="55"/>
    </row>
    <row r="147" spans="21:21" customHeight="1">
      <c r="U147" s="22"/>
    </row>
  </sheetData>
  <mergeCells count="204">
    <mergeCell ref="B130:B131"/>
    <mergeCell ref="C130:O132"/>
    <mergeCell ref="AG130:AM131"/>
    <mergeCell ref="B127:B128"/>
    <mergeCell ref="C127:O129"/>
    <mergeCell ref="P127:W129"/>
    <mergeCell ref="P130:W132"/>
    <mergeCell ref="B139:B141"/>
    <mergeCell ref="AG133:AM134"/>
    <mergeCell ref="AG136:AM137"/>
    <mergeCell ref="AG139:AM140"/>
    <mergeCell ref="P139:W141"/>
    <mergeCell ref="X139:AF141"/>
    <mergeCell ref="B136:B137"/>
    <mergeCell ref="C136:O138"/>
    <mergeCell ref="B133:B134"/>
    <mergeCell ref="C133:O135"/>
    <mergeCell ref="P133:W135"/>
    <mergeCell ref="P136:W138"/>
    <mergeCell ref="C139:O141"/>
    <mergeCell ref="X133:AF135"/>
    <mergeCell ref="X136:AF138"/>
    <mergeCell ref="E99:O99"/>
    <mergeCell ref="R82:AE83"/>
    <mergeCell ref="R85:AE86"/>
    <mergeCell ref="AG76:AN77"/>
    <mergeCell ref="N79:Q80"/>
    <mergeCell ref="N85:Q86"/>
    <mergeCell ref="AG73:AN74"/>
    <mergeCell ref="C88:M90"/>
    <mergeCell ref="P88:Q90"/>
    <mergeCell ref="N82:Q83"/>
    <mergeCell ref="R88:AE89"/>
    <mergeCell ref="C76:D77"/>
    <mergeCell ref="C79:D80"/>
    <mergeCell ref="C82:D83"/>
    <mergeCell ref="C85:D86"/>
    <mergeCell ref="E76:M77"/>
    <mergeCell ref="E79:M80"/>
    <mergeCell ref="E82:M83"/>
    <mergeCell ref="E85:M86"/>
    <mergeCell ref="B22:B23"/>
    <mergeCell ref="C46:Q47"/>
    <mergeCell ref="AD51:AM53"/>
    <mergeCell ref="B52:B53"/>
    <mergeCell ref="C52:Q53"/>
    <mergeCell ref="AG109:AN110"/>
    <mergeCell ref="P103:AA105"/>
    <mergeCell ref="AB103:AF104"/>
    <mergeCell ref="AG106:AN107"/>
    <mergeCell ref="AB99:AF99"/>
    <mergeCell ref="P96:AA96"/>
    <mergeCell ref="P99:AA99"/>
    <mergeCell ref="R34:AB35"/>
    <mergeCell ref="R37:AB38"/>
    <mergeCell ref="AG85:AN86"/>
    <mergeCell ref="AG99:AN99"/>
    <mergeCell ref="AG96:AN97"/>
    <mergeCell ref="AG79:AN80"/>
    <mergeCell ref="AG82:AN83"/>
    <mergeCell ref="AD40:AM41"/>
    <mergeCell ref="B43:B44"/>
    <mergeCell ref="B61:B62"/>
    <mergeCell ref="E96:O98"/>
    <mergeCell ref="C99:D99"/>
    <mergeCell ref="AD43:AM44"/>
    <mergeCell ref="AD45:AM47"/>
    <mergeCell ref="AD58:AM59"/>
    <mergeCell ref="AD54:AM56"/>
    <mergeCell ref="AD48:AM50"/>
    <mergeCell ref="R52:AB53"/>
    <mergeCell ref="C43:M44"/>
    <mergeCell ref="H62:Q62"/>
    <mergeCell ref="B40:B41"/>
    <mergeCell ref="N43:Q44"/>
    <mergeCell ref="B73:B74"/>
    <mergeCell ref="R72:AF72"/>
    <mergeCell ref="R73:AE74"/>
    <mergeCell ref="B49:B50"/>
    <mergeCell ref="C49:Q50"/>
    <mergeCell ref="R49:AB50"/>
    <mergeCell ref="B58:B59"/>
    <mergeCell ref="C58:Q59"/>
    <mergeCell ref="B55:B56"/>
    <mergeCell ref="R70:AF71"/>
    <mergeCell ref="R69:AF69"/>
    <mergeCell ref="C73:D74"/>
    <mergeCell ref="C20:Q20"/>
    <mergeCell ref="C22:Q23"/>
    <mergeCell ref="R22:AB23"/>
    <mergeCell ref="AG69:AN70"/>
    <mergeCell ref="C55:Q56"/>
    <mergeCell ref="R55:AB56"/>
    <mergeCell ref="AG72:AN72"/>
    <mergeCell ref="C69:D71"/>
    <mergeCell ref="C72:D72"/>
    <mergeCell ref="E69:M71"/>
    <mergeCell ref="E72:M72"/>
    <mergeCell ref="AD20:AN20"/>
    <mergeCell ref="R31:AB32"/>
    <mergeCell ref="AD61:AM62"/>
    <mergeCell ref="AB63:AC65"/>
    <mergeCell ref="AD33:AM35"/>
    <mergeCell ref="AD37:AM38"/>
    <mergeCell ref="AD63:AM65"/>
    <mergeCell ref="AD22:AM23"/>
    <mergeCell ref="AD25:AM26"/>
    <mergeCell ref="R61:AB62"/>
    <mergeCell ref="R20:AC20"/>
    <mergeCell ref="R43:AB44"/>
    <mergeCell ref="R46:AB47"/>
    <mergeCell ref="B2:B8"/>
    <mergeCell ref="K2:AD2"/>
    <mergeCell ref="C17:Q19"/>
    <mergeCell ref="R17:AC17"/>
    <mergeCell ref="AD17:AN17"/>
    <mergeCell ref="C6:J6"/>
    <mergeCell ref="C2:J4"/>
    <mergeCell ref="C5:J5"/>
    <mergeCell ref="L5:W5"/>
    <mergeCell ref="R19:AC19"/>
    <mergeCell ref="B17:B19"/>
    <mergeCell ref="AM2:AN3"/>
    <mergeCell ref="K3:AD3"/>
    <mergeCell ref="AG2:AH3"/>
    <mergeCell ref="AI2:AJ3"/>
    <mergeCell ref="AK2:AL3"/>
    <mergeCell ref="AE2:AF8"/>
    <mergeCell ref="R18:AC18"/>
    <mergeCell ref="AD19:AN19"/>
    <mergeCell ref="B25:B26"/>
    <mergeCell ref="B46:B47"/>
    <mergeCell ref="C37:Q38"/>
    <mergeCell ref="C40:P41"/>
    <mergeCell ref="B76:B77"/>
    <mergeCell ref="B79:B80"/>
    <mergeCell ref="C31:Q32"/>
    <mergeCell ref="R28:AB29"/>
    <mergeCell ref="C25:Q26"/>
    <mergeCell ref="C28:M29"/>
    <mergeCell ref="C35:P35"/>
    <mergeCell ref="B34:B35"/>
    <mergeCell ref="B28:B29"/>
    <mergeCell ref="B31:B32"/>
    <mergeCell ref="C63:Q65"/>
    <mergeCell ref="R25:AB26"/>
    <mergeCell ref="R40:AB41"/>
    <mergeCell ref="R58:AB59"/>
    <mergeCell ref="R76:AE77"/>
    <mergeCell ref="R79:AE80"/>
    <mergeCell ref="E73:M75"/>
    <mergeCell ref="AD27:AM29"/>
    <mergeCell ref="AD30:AM32"/>
    <mergeCell ref="B37:B38"/>
    <mergeCell ref="B82:B84"/>
    <mergeCell ref="B69:B71"/>
    <mergeCell ref="N70:Q71"/>
    <mergeCell ref="N76:Q77"/>
    <mergeCell ref="N73:Q74"/>
    <mergeCell ref="B123:B125"/>
    <mergeCell ref="P106:AA108"/>
    <mergeCell ref="N72:Q72"/>
    <mergeCell ref="N69:Q69"/>
    <mergeCell ref="P100:AA101"/>
    <mergeCell ref="X123:AF125"/>
    <mergeCell ref="AB106:AF107"/>
    <mergeCell ref="B109:B110"/>
    <mergeCell ref="B100:B101"/>
    <mergeCell ref="B103:B104"/>
    <mergeCell ref="B106:B107"/>
    <mergeCell ref="B96:B98"/>
    <mergeCell ref="P97:AA97"/>
    <mergeCell ref="AB109:AF110"/>
    <mergeCell ref="P112:AA114"/>
    <mergeCell ref="AB100:AF101"/>
    <mergeCell ref="AB96:AF96"/>
    <mergeCell ref="AB97:AF97"/>
    <mergeCell ref="C96:D98"/>
    <mergeCell ref="AG112:AN113"/>
    <mergeCell ref="AE115:AF117"/>
    <mergeCell ref="C115:AA117"/>
    <mergeCell ref="AG115:AM116"/>
    <mergeCell ref="AB112:AF113"/>
    <mergeCell ref="X127:AF129"/>
    <mergeCell ref="X130:AF132"/>
    <mergeCell ref="AG127:AM128"/>
    <mergeCell ref="P126:W126"/>
    <mergeCell ref="X126:AF126"/>
    <mergeCell ref="AG123:AN125"/>
    <mergeCell ref="C123:O125"/>
    <mergeCell ref="C126:O126"/>
    <mergeCell ref="AG126:AN126"/>
    <mergeCell ref="P123:W125"/>
    <mergeCell ref="C100:D101"/>
    <mergeCell ref="C103:D104"/>
    <mergeCell ref="C106:D107"/>
    <mergeCell ref="C109:D110"/>
    <mergeCell ref="E103:O104"/>
    <mergeCell ref="E106:O107"/>
    <mergeCell ref="E109:O110"/>
    <mergeCell ref="AG103:AN104"/>
    <mergeCell ref="AG100:AN101"/>
    <mergeCell ref="E100:O102"/>
    <mergeCell ref="P109:AA111"/>
  </mergeCells>
  <printOptions horizontalCentered="1"/>
  <pageMargins left="0.7" right="0.7" top="0.75" bottom="0.75" header="0.3" footer="0.3"/>
  <pageSetup paperSize="5" scale="59" fitToHeight="0" orientation="portrait" r:id="rId1"/>
  <headerFooter alignWithMargins="0">
    <oddHeader>&amp;R&amp;"Arial,Bold"&amp;14C.2.1.&amp;P</oddHeader>
    <oddFooter>&amp;L&amp;8Page &amp;P of &amp;N&amp;R&amp;8Printed on &amp;D,&amp;T</oddFooter>
  </headerFooter>
</worksheet>
</file>

<file path=xl/worksheets/sheet18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00b0f0"/>
    <pageSetUpPr fitToPage="1"/>
  </sheetPr>
  <dimension ref="A1:BC147"/>
  <sheetViews>
    <sheetView showGridLines="0" zoomScaleNormal="75" zoomScaleSheetLayoutView="100" view="pageBreakPreview" workbookViewId="0">
      <selection pane="topLeft" activeCell="C2" sqref="C2"/>
    </sheetView>
  </sheetViews>
  <sheetFormatPr defaultColWidth="3.7109375" customHeight="1" defaultRowHeight="10" baseColWidth="0"/>
  <cols>
    <col min="1" max="1" width="3.7109375" customWidth="1"/>
    <col min="2" max="2" width="5.28125" customWidth="1"/>
    <col min="3" max="4" width="4.56640625" customWidth="1"/>
    <col min="30" max="30" width="3.56640625" customWidth="1"/>
    <col min="31" max="31" width="3.8515625" customWidth="1"/>
    <col min="47" max="47" width="9.7109375" bestFit="1" customWidth="1"/>
  </cols>
  <sheetData>
    <row r="1" spans="1:41" customHeight="1">
      <c r="A1" s="1"/>
      <c r="B1"/>
      <c r="AO1" s="1"/>
    </row>
    <row r="2" spans="1:40" ht="12.75" customHeight="1">
      <c r="A2"/>
      <c r="B2" s="1478" t="s">
        <v>38</v>
      </c>
      <c r="C2" s="1774" t="s">
        <v>85</v>
      </c>
      <c r="D2" s="1774"/>
      <c r="E2" s="1774"/>
      <c r="F2" s="1774"/>
      <c r="G2" s="1774"/>
      <c r="H2" s="1774"/>
      <c r="I2" s="1774"/>
      <c r="J2" s="1956"/>
      <c r="K2" s="1882" t="s">
        <v>149</v>
      </c>
      <c r="L2" s="69"/>
      <c r="M2" s="69"/>
      <c r="N2" s="69"/>
      <c r="O2" s="69"/>
      <c r="P2" s="69"/>
      <c r="Q2" s="69"/>
      <c r="R2" s="69"/>
      <c r="S2" s="69"/>
      <c r="T2" s="69"/>
      <c r="U2" s="69"/>
      <c r="V2" s="69"/>
      <c r="W2" s="69"/>
      <c r="X2" s="69"/>
      <c r="Y2" s="69"/>
      <c r="Z2" s="69"/>
      <c r="AA2" s="69"/>
      <c r="AB2" s="69"/>
      <c r="AC2" s="69"/>
      <c r="AD2" s="1883"/>
      <c r="AE2" s="2518" t="s">
        <v>29</v>
      </c>
      <c r="AF2" s="1478"/>
      <c r="AG2" s="1950">
        <v>2</v>
      </c>
      <c r="AH2" s="1950"/>
      <c r="AI2" s="1950">
        <v>0</v>
      </c>
      <c r="AJ2" s="1950"/>
      <c r="AK2" s="1950">
        <f>'1770 S-1'!AJ3</f>
        <v>0</v>
      </c>
      <c r="AL2" s="1950"/>
      <c r="AM2" s="1950">
        <f>'1770 S-1'!AL3</f>
        <v>0</v>
      </c>
      <c r="AN2" s="1950"/>
    </row>
    <row r="3" spans="2:40" ht="15" customHeight="1">
      <c r="B3" s="1478"/>
      <c r="C3" s="1774"/>
      <c r="D3" s="1774"/>
      <c r="E3" s="1774"/>
      <c r="F3" s="1774"/>
      <c r="G3" s="1774"/>
      <c r="H3" s="1774"/>
      <c r="I3" s="1774"/>
      <c r="J3" s="1956"/>
      <c r="K3" s="2638" t="s">
        <v>55</v>
      </c>
      <c r="L3" s="252"/>
      <c r="M3" s="252"/>
      <c r="N3" s="252"/>
      <c r="O3" s="252"/>
      <c r="P3" s="252"/>
      <c r="Q3" s="252"/>
      <c r="R3" s="252"/>
      <c r="S3" s="252"/>
      <c r="T3" s="252"/>
      <c r="U3" s="252"/>
      <c r="V3" s="252"/>
      <c r="W3" s="252"/>
      <c r="X3" s="252"/>
      <c r="Y3" s="252"/>
      <c r="Z3" s="252"/>
      <c r="AA3" s="252"/>
      <c r="AB3" s="252"/>
      <c r="AC3" s="252"/>
      <c r="AD3" s="2639"/>
      <c r="AE3" s="2518"/>
      <c r="AF3" s="1478"/>
      <c r="AG3" s="1950"/>
      <c r="AH3" s="1950"/>
      <c r="AI3" s="1950"/>
      <c r="AJ3" s="1950"/>
      <c r="AK3" s="1950"/>
      <c r="AL3" s="1950"/>
      <c r="AM3" s="1950"/>
      <c r="AN3" s="1950"/>
    </row>
    <row r="4" spans="2:40" ht="3" customHeight="1" thickBot="1">
      <c r="B4" s="1478"/>
      <c r="C4" s="1774"/>
      <c r="D4" s="1774"/>
      <c r="E4" s="1774"/>
      <c r="F4" s="1774"/>
      <c r="G4" s="1774"/>
      <c r="H4" s="1774"/>
      <c r="I4" s="1774"/>
      <c r="J4" s="1956"/>
      <c r="K4" s="313"/>
      <c r="L4" s="314"/>
      <c r="M4" s="314"/>
      <c r="N4" s="314"/>
      <c r="O4" s="314"/>
      <c r="P4" s="314"/>
      <c r="Q4" s="314"/>
      <c r="R4" s="314"/>
      <c r="S4" s="314"/>
      <c r="T4" s="314"/>
      <c r="U4" s="314"/>
      <c r="V4" s="314"/>
      <c r="W4" s="314"/>
      <c r="X4" s="314"/>
      <c r="Y4" s="314"/>
      <c r="Z4" s="314"/>
      <c r="AA4" s="314"/>
      <c r="AB4" s="314"/>
      <c r="AC4" s="314"/>
      <c r="AD4" s="315"/>
      <c r="AE4" s="2518"/>
      <c r="AF4" s="1478"/>
      <c r="AG4" s="202"/>
      <c r="AH4" s="202"/>
      <c r="AI4" s="202"/>
      <c r="AJ4" s="202"/>
      <c r="AK4" s="202"/>
      <c r="AL4" s="202"/>
      <c r="AM4" s="202"/>
      <c r="AN4" s="202"/>
    </row>
    <row r="5" spans="2:40" ht="21.75" customHeight="1">
      <c r="B5" s="1478"/>
      <c r="C5" s="2632" t="s">
        <v>454</v>
      </c>
      <c r="D5" s="2632"/>
      <c r="E5" s="2632"/>
      <c r="F5" s="2632"/>
      <c r="G5" s="2632"/>
      <c r="H5" s="2632"/>
      <c r="I5" s="2632"/>
      <c r="J5" s="2633"/>
      <c r="K5" s="58" t="s">
        <v>23</v>
      </c>
      <c r="L5" s="2634" t="s">
        <v>173</v>
      </c>
      <c r="M5" s="2634"/>
      <c r="N5" s="2634"/>
      <c r="O5" s="2634"/>
      <c r="P5" s="2634"/>
      <c r="Q5" s="2634"/>
      <c r="R5" s="2634"/>
      <c r="S5" s="2634"/>
      <c r="T5" s="2634"/>
      <c r="U5" s="2634"/>
      <c r="V5" s="2634"/>
      <c r="W5" s="2634"/>
      <c r="X5" s="4"/>
      <c r="Y5" s="4"/>
      <c r="Z5" s="4"/>
      <c r="AA5" s="4"/>
      <c r="AB5" s="4"/>
      <c r="AC5" s="4"/>
      <c r="AD5" s="4"/>
      <c r="AE5" s="2518"/>
      <c r="AF5" s="1478"/>
      <c r="AG5" s="202"/>
      <c r="AH5" s="202"/>
      <c r="AI5" s="202"/>
      <c r="AJ5" s="202"/>
      <c r="AK5" s="202"/>
      <c r="AL5" s="202"/>
      <c r="AM5" s="202"/>
      <c r="AN5" s="202"/>
    </row>
    <row r="6" spans="2:40" ht="15" customHeight="1">
      <c r="B6" s="1478"/>
      <c r="C6" s="2632" t="s">
        <v>31</v>
      </c>
      <c r="D6" s="2632"/>
      <c r="E6" s="2632"/>
      <c r="F6" s="2632"/>
      <c r="G6" s="2632"/>
      <c r="H6" s="2632"/>
      <c r="I6" s="2632"/>
      <c r="J6" s="2633"/>
      <c r="K6" s="115" t="s">
        <v>23</v>
      </c>
      <c r="L6" s="44" t="s">
        <v>428</v>
      </c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2518"/>
      <c r="AF6" s="1478"/>
      <c r="AG6" s="305"/>
      <c r="AH6" s="305"/>
      <c r="AI6" s="305"/>
      <c r="AJ6" s="305"/>
      <c r="AK6" s="305"/>
      <c r="AL6" s="305"/>
      <c r="AM6" s="305"/>
      <c r="AN6" s="305"/>
    </row>
    <row r="7" spans="2:32" ht="12.75" customHeight="1">
      <c r="B7" s="1478"/>
      <c r="K7" s="115" t="s">
        <v>23</v>
      </c>
      <c r="L7" s="44" t="s">
        <v>429</v>
      </c>
      <c r="M7"/>
      <c r="N7"/>
      <c r="O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518"/>
      <c r="AF7" s="1478"/>
    </row>
    <row r="8" spans="2:40" ht="15" customHeight="1" thickBot="1">
      <c r="B8" s="1955"/>
      <c r="C8" s="25"/>
      <c r="D8" s="25"/>
      <c r="E8" s="25"/>
      <c r="F8" s="25"/>
      <c r="G8" s="25"/>
      <c r="H8" s="25"/>
      <c r="I8" s="25"/>
      <c r="J8" s="77"/>
      <c r="K8" s="115" t="s">
        <v>23</v>
      </c>
      <c r="L8" s="44" t="s">
        <v>430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520"/>
      <c r="AF8" s="1955"/>
      <c r="AG8" s="4"/>
      <c r="AH8"/>
      <c r="AI8" s="25"/>
      <c r="AJ8" s="25"/>
      <c r="AK8" s="25"/>
      <c r="AL8" s="25"/>
      <c r="AM8" s="25"/>
      <c r="AN8"/>
    </row>
    <row r="9" spans="2:40" ht="2.25" customHeight="1">
      <c r="B9" s="65"/>
      <c r="C9" s="32"/>
      <c r="D9" s="32"/>
      <c r="E9" s="32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2"/>
      <c r="AH9" s="32"/>
      <c r="AI9" s="32"/>
      <c r="AJ9" s="32"/>
      <c r="AK9" s="32"/>
      <c r="AL9" s="32"/>
      <c r="AM9" s="32"/>
      <c r="AN9" s="13"/>
    </row>
    <row r="10" spans="2:40" s="11" customFormat="1" ht="18" customHeight="1">
      <c r="B10" s="109" t="s">
        <v>33</v>
      </c>
      <c r="C10" s="66"/>
      <c r="D10" s="66"/>
      <c r="E10" s="66"/>
      <c r="F10" s="66"/>
      <c r="G10" s="66"/>
      <c r="H10" s="58" t="s">
        <v>26</v>
      </c>
      <c r="I10" s="62"/>
      <c r="J10" s="1338" t="str">
        <f>'1770 S-1'!K9</f>
        <v/>
      </c>
      <c r="K10" s="1338" t="str">
        <f>'1770 S-1'!L9</f>
        <v/>
      </c>
      <c r="L10" s="236"/>
      <c r="M10" s="1338" t="str">
        <f>'1770 S-1'!N9</f>
        <v/>
      </c>
      <c r="N10" s="1338" t="str">
        <f>'1770 S-1'!O9</f>
        <v/>
      </c>
      <c r="O10" s="1338" t="str">
        <f>'1770 S-1'!P9</f>
        <v/>
      </c>
      <c r="P10" s="236"/>
      <c r="Q10" s="1338" t="str">
        <f>'1770 S-1'!R9</f>
        <v/>
      </c>
      <c r="R10" s="1338" t="str">
        <f>'1770 S-1'!S9</f>
        <v/>
      </c>
      <c r="S10" s="1338" t="str">
        <f>'1770 S-1'!T9</f>
        <v/>
      </c>
      <c r="T10" s="236"/>
      <c r="U10" s="1338" t="str">
        <f>'1770 S-1'!V9</f>
        <v/>
      </c>
      <c r="V10" s="236"/>
      <c r="W10" s="1338" t="str">
        <f>'1770 S-1'!X9</f>
        <v/>
      </c>
      <c r="X10" s="1338" t="str">
        <f>'1770 S-1'!Y9</f>
        <v/>
      </c>
      <c r="Y10" s="1338" t="str">
        <f>'1770 S-1'!Z9</f>
        <v/>
      </c>
      <c r="Z10" s="236"/>
      <c r="AA10" s="1338" t="str">
        <f>'1770 S-1'!AB9</f>
        <v/>
      </c>
      <c r="AB10" s="1338" t="str">
        <f>'1770 S-1'!AC9</f>
        <v/>
      </c>
      <c r="AC10" s="1338" t="str">
        <f>'1770 S-1'!AD9</f>
        <v/>
      </c>
      <c r="AD10" s="236"/>
      <c r="AE10" s="236"/>
      <c r="AF10" s="11"/>
      <c r="AG10" s="11"/>
      <c r="AH10" s="11"/>
      <c r="AI10" s="11"/>
      <c r="AJ10" s="11"/>
      <c r="AK10" s="11"/>
      <c r="AL10" s="11"/>
      <c r="AM10" s="11"/>
      <c r="AN10" s="47"/>
    </row>
    <row r="11" spans="2:40" ht="3" customHeight="1">
      <c r="B11" s="111"/>
      <c r="C11" s="88"/>
      <c r="D11" s="88"/>
      <c r="E11" s="88"/>
      <c r="F11" s="88"/>
      <c r="G11" s="88"/>
      <c r="H11" s="113"/>
      <c r="I11" s="88"/>
      <c r="J11" s="15"/>
      <c r="K11" s="79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306" t="e">
        <f>#REF!</f>
        <v>#REF!</v>
      </c>
      <c r="AE11" s="306" t="e">
        <f>#REF!</f>
        <v>#REF!</v>
      </c>
      <c r="AF11" s="306" t="e">
        <f>#REF!</f>
        <v>#REF!</v>
      </c>
      <c r="AG11" s="306" t="e">
        <f>#REF!</f>
        <v>#REF!</v>
      </c>
      <c r="AH11" s="306" t="e">
        <f>#REF!</f>
        <v>#REF!</v>
      </c>
      <c r="AI11" s="306" t="e">
        <f>#REF!</f>
        <v>#REF!</v>
      </c>
      <c r="AJ11" s="306" t="e">
        <f>#REF!</f>
        <v>#REF!</v>
      </c>
      <c r="AK11" s="306" t="e">
        <f>#REF!</f>
        <v>#REF!</v>
      </c>
      <c r="AL11" s="306" t="e">
        <f>#REF!</f>
        <v>#REF!</v>
      </c>
      <c r="AM11" s="306" t="e">
        <f>#REF!</f>
        <v>#REF!</v>
      </c>
      <c r="AN11" s="52"/>
    </row>
    <row r="12" spans="2:40" s="11" customFormat="1" ht="18.75" customHeight="1">
      <c r="B12" s="109" t="s">
        <v>27</v>
      </c>
      <c r="C12" s="66"/>
      <c r="D12" s="66"/>
      <c r="E12" s="66"/>
      <c r="F12" s="66"/>
      <c r="G12" s="66"/>
      <c r="H12" s="58" t="s">
        <v>26</v>
      </c>
      <c r="I12" s="62"/>
      <c r="J12" s="1422" t="str">
        <f>UPPER(name)</f>
        <v>0</v>
      </c>
      <c r="K12" s="1351"/>
      <c r="L12" s="1351"/>
      <c r="M12" s="1351"/>
      <c r="N12" s="1351"/>
      <c r="O12" s="1351"/>
      <c r="P12" s="1351"/>
      <c r="Q12" s="1351"/>
      <c r="R12" s="1351"/>
      <c r="S12" s="1351"/>
      <c r="T12" s="1351"/>
      <c r="U12" s="1351"/>
      <c r="V12" s="1351"/>
      <c r="W12" s="1351"/>
      <c r="X12" s="1351"/>
      <c r="Y12" s="1351"/>
      <c r="Z12" s="1351"/>
      <c r="AA12" s="1351"/>
      <c r="AB12" s="1351"/>
      <c r="AC12" s="1351"/>
      <c r="AD12" s="1423"/>
      <c r="AE12" s="1423"/>
      <c r="AF12" s="1423"/>
      <c r="AG12" s="1423"/>
      <c r="AH12" s="1423"/>
      <c r="AI12" s="1423"/>
      <c r="AJ12" s="1423"/>
      <c r="AK12" s="1423"/>
      <c r="AL12" s="1423"/>
      <c r="AM12" s="1423"/>
      <c r="AN12" s="47"/>
    </row>
    <row r="13" spans="2:40" ht="3" customHeight="1" thickBot="1">
      <c r="B13" s="80"/>
      <c r="C13" s="2"/>
      <c r="D13" s="2"/>
      <c r="E13" s="2"/>
      <c r="F13" s="2"/>
      <c r="G13" s="2"/>
      <c r="H13" s="2"/>
      <c r="I13" s="2"/>
      <c r="J13" s="2"/>
      <c r="K13" s="59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14"/>
    </row>
    <row r="14" spans="2:40" ht="9" customHeight="1"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K14" s="32"/>
      <c r="AL14" s="32"/>
      <c r="AM14" s="32"/>
      <c r="AN14" s="32"/>
    </row>
    <row r="15" spans="2:40" ht="15" customHeight="1">
      <c r="B15" s="71" t="s">
        <v>39</v>
      </c>
      <c r="C15" s="75"/>
      <c r="D15" s="75"/>
      <c r="E15"/>
      <c r="F15" s="75" t="s">
        <v>26</v>
      </c>
      <c r="G15" s="75" t="s">
        <v>173</v>
      </c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/>
      <c r="AA15"/>
      <c r="AB15"/>
      <c r="AC15"/>
      <c r="AD15"/>
      <c r="AE15" s="11"/>
      <c r="AF15" s="11"/>
      <c r="AG15" s="11"/>
      <c r="AH15"/>
      <c r="AI15"/>
      <c r="AJ15"/>
      <c r="AK15"/>
      <c r="AL15"/>
      <c r="AM15"/>
      <c r="AN15"/>
    </row>
    <row r="16" spans="2:40" ht="4.5" customHeight="1"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2:40" ht="15" customHeight="1">
      <c r="B17" s="142" t="s">
        <v>76</v>
      </c>
      <c r="C17" s="142" t="s">
        <v>49</v>
      </c>
      <c r="D17" s="1307"/>
      <c r="E17" s="1307"/>
      <c r="F17" s="1307"/>
      <c r="G17" s="1307"/>
      <c r="H17" s="1307"/>
      <c r="I17" s="1307"/>
      <c r="J17" s="1307"/>
      <c r="K17" s="1307"/>
      <c r="L17" s="1307"/>
      <c r="M17" s="1307"/>
      <c r="N17" s="1307"/>
      <c r="O17" s="1307"/>
      <c r="P17" s="1307"/>
      <c r="Q17" s="1895"/>
      <c r="R17" s="1307" t="s">
        <v>122</v>
      </c>
      <c r="S17" s="1307"/>
      <c r="T17" s="1307"/>
      <c r="U17" s="1307"/>
      <c r="V17" s="1307"/>
      <c r="W17" s="1307"/>
      <c r="X17" s="1307"/>
      <c r="Y17" s="1307"/>
      <c r="Z17" s="1307"/>
      <c r="AA17" s="1307"/>
      <c r="AB17" s="1307"/>
      <c r="AC17" s="1307"/>
      <c r="AD17" s="142" t="s">
        <v>3</v>
      </c>
      <c r="AE17" s="1307"/>
      <c r="AF17" s="1307"/>
      <c r="AG17" s="1307"/>
      <c r="AH17" s="1307"/>
      <c r="AI17" s="1307"/>
      <c r="AJ17" s="1307"/>
      <c r="AK17" s="1307"/>
      <c r="AL17" s="1307"/>
      <c r="AM17" s="1307"/>
      <c r="AN17" s="1895"/>
    </row>
    <row r="18" spans="2:40" ht="12" customHeight="1">
      <c r="B18" s="141"/>
      <c r="C18" s="141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297"/>
      <c r="R18" s="67" t="s">
        <v>123</v>
      </c>
      <c r="S18" s="67"/>
      <c r="T18" s="67"/>
      <c r="U18" s="67"/>
      <c r="V18" s="67"/>
      <c r="W18" s="67"/>
      <c r="X18" s="67"/>
      <c r="Y18" s="67"/>
      <c r="Z18" s="67"/>
      <c r="AA18" s="67"/>
      <c r="AB18" s="67"/>
      <c r="AC18" s="67"/>
      <c r="AD18" s="141"/>
      <c r="AE18" s="67"/>
      <c r="AF18" s="67"/>
      <c r="AG18" s="67"/>
      <c r="AH18" s="67"/>
      <c r="AI18" s="67"/>
      <c r="AJ18" s="67"/>
      <c r="AK18" s="67"/>
      <c r="AL18" s="67"/>
      <c r="AM18" s="67"/>
      <c r="AN18" s="297"/>
    </row>
    <row r="19" spans="2:40" ht="12" customHeight="1">
      <c r="B19" s="141"/>
      <c r="C19" s="141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297"/>
      <c r="R19" s="2635" t="s">
        <v>70</v>
      </c>
      <c r="S19" s="2636"/>
      <c r="T19" s="2636"/>
      <c r="U19" s="2636"/>
      <c r="V19" s="2636"/>
      <c r="W19" s="2636"/>
      <c r="X19" s="2636"/>
      <c r="Y19" s="2636"/>
      <c r="Z19" s="2636"/>
      <c r="AA19" s="2636"/>
      <c r="AB19" s="2636"/>
      <c r="AC19" s="2637"/>
      <c r="AD19" s="141" t="s">
        <v>70</v>
      </c>
      <c r="AE19" s="67"/>
      <c r="AF19" s="67"/>
      <c r="AG19" s="67"/>
      <c r="AH19" s="67"/>
      <c r="AI19" s="67"/>
      <c r="AJ19" s="67"/>
      <c r="AK19" s="67"/>
      <c r="AL19" s="67"/>
      <c r="AM19" s="67"/>
      <c r="AN19" s="297"/>
    </row>
    <row r="20" spans="2:40" s="16" customFormat="1" ht="12" customHeight="1">
      <c r="B20" s="176" t="s">
        <v>65</v>
      </c>
      <c r="C20" s="1909" t="s">
        <v>64</v>
      </c>
      <c r="D20" s="1910"/>
      <c r="E20" s="1910"/>
      <c r="F20" s="1910"/>
      <c r="G20" s="1910"/>
      <c r="H20" s="1910"/>
      <c r="I20" s="1910"/>
      <c r="J20" s="1910"/>
      <c r="K20" s="1910"/>
      <c r="L20" s="1910"/>
      <c r="M20" s="1910"/>
      <c r="N20" s="1910"/>
      <c r="O20" s="1910"/>
      <c r="P20" s="1910"/>
      <c r="Q20" s="1911"/>
      <c r="R20" s="1910" t="s">
        <v>66</v>
      </c>
      <c r="S20" s="1910"/>
      <c r="T20" s="1910"/>
      <c r="U20" s="1910"/>
      <c r="V20" s="1910"/>
      <c r="W20" s="1910"/>
      <c r="X20" s="1910"/>
      <c r="Y20" s="1910"/>
      <c r="Z20" s="1910"/>
      <c r="AA20" s="1910"/>
      <c r="AB20" s="1910"/>
      <c r="AC20" s="1910"/>
      <c r="AD20" s="1909" t="s">
        <v>67</v>
      </c>
      <c r="AE20" s="1910"/>
      <c r="AF20" s="1910"/>
      <c r="AG20" s="1910"/>
      <c r="AH20" s="1910"/>
      <c r="AI20" s="1910"/>
      <c r="AJ20" s="1910"/>
      <c r="AK20" s="1910"/>
      <c r="AL20" s="1910"/>
      <c r="AM20" s="1910"/>
      <c r="AN20" s="1911"/>
    </row>
    <row r="21" spans="2:40" ht="3" customHeight="1" hidden="1">
      <c r="B21" s="177"/>
      <c r="C21" s="177"/>
      <c r="D21" s="172"/>
      <c r="E21" s="172"/>
      <c r="F21" s="172"/>
      <c r="G21" s="172"/>
      <c r="H21" s="172"/>
      <c r="I21" s="172"/>
      <c r="J21" s="172"/>
      <c r="K21" s="172"/>
      <c r="L21" s="172"/>
      <c r="M21" s="172"/>
      <c r="N21" s="172"/>
      <c r="O21" s="172"/>
      <c r="P21" s="172"/>
      <c r="Q21" s="173"/>
      <c r="R21" s="172"/>
      <c r="S21" s="172"/>
      <c r="T21" s="172"/>
      <c r="U21" s="172"/>
      <c r="V21" s="172"/>
      <c r="W21" s="172"/>
      <c r="X21" s="172"/>
      <c r="Y21" s="172"/>
      <c r="Z21" s="172"/>
      <c r="AA21" s="172"/>
      <c r="AB21" s="172"/>
      <c r="AC21" s="172"/>
      <c r="AD21" s="177"/>
      <c r="AE21" s="172"/>
      <c r="AF21" s="172"/>
      <c r="AG21" s="172"/>
      <c r="AH21" s="172"/>
      <c r="AI21" s="172"/>
      <c r="AJ21" s="172"/>
      <c r="AK21" s="172"/>
      <c r="AL21" s="172"/>
      <c r="AM21" s="172"/>
      <c r="AN21" s="173"/>
    </row>
    <row r="22" spans="2:40" ht="15" customHeight="1">
      <c r="B22" s="1304" t="s">
        <v>386</v>
      </c>
      <c r="C22" s="2640" t="s">
        <v>431</v>
      </c>
      <c r="D22" s="2641"/>
      <c r="E22" s="2641"/>
      <c r="F22" s="2641"/>
      <c r="G22" s="2641"/>
      <c r="H22" s="2641"/>
      <c r="I22" s="2641"/>
      <c r="J22" s="2641"/>
      <c r="K22" s="2641"/>
      <c r="L22" s="2641"/>
      <c r="M22" s="2641"/>
      <c r="N22" s="2641"/>
      <c r="O22" s="2641"/>
      <c r="P22" s="2641"/>
      <c r="Q22" s="2642"/>
      <c r="R22" s="1869"/>
      <c r="S22" s="1870"/>
      <c r="T22" s="1870"/>
      <c r="U22" s="1870"/>
      <c r="V22" s="1870"/>
      <c r="W22" s="1870"/>
      <c r="X22" s="1870"/>
      <c r="Y22" s="1870"/>
      <c r="Z22" s="1870"/>
      <c r="AA22" s="1870"/>
      <c r="AB22" s="1870"/>
      <c r="AC22" s="262"/>
      <c r="AD22" s="1869"/>
      <c r="AE22" s="1870"/>
      <c r="AF22" s="1870"/>
      <c r="AG22" s="1870"/>
      <c r="AH22" s="1870"/>
      <c r="AI22" s="1870"/>
      <c r="AJ22" s="1870"/>
      <c r="AK22" s="1870"/>
      <c r="AL22" s="1870"/>
      <c r="AM22" s="1870"/>
      <c r="AN22" s="256"/>
    </row>
    <row r="23" spans="2:40" ht="15" customHeight="1">
      <c r="B23" s="1900"/>
      <c r="C23" s="2625"/>
      <c r="D23" s="2626"/>
      <c r="E23" s="2626"/>
      <c r="F23" s="2626"/>
      <c r="G23" s="2626"/>
      <c r="H23" s="2626"/>
      <c r="I23" s="2626"/>
      <c r="J23" s="2626"/>
      <c r="K23" s="2626"/>
      <c r="L23" s="2626"/>
      <c r="M23" s="2626"/>
      <c r="N23" s="2626"/>
      <c r="O23" s="2626"/>
      <c r="P23" s="2626"/>
      <c r="Q23" s="2627"/>
      <c r="R23" s="377"/>
      <c r="S23" s="1871"/>
      <c r="T23" s="1871"/>
      <c r="U23" s="1871"/>
      <c r="V23" s="1871"/>
      <c r="W23" s="1871"/>
      <c r="X23" s="1871"/>
      <c r="Y23" s="1871"/>
      <c r="Z23" s="1871"/>
      <c r="AA23" s="1871"/>
      <c r="AB23" s="1871"/>
      <c r="AC23" s="261"/>
      <c r="AD23" s="377"/>
      <c r="AE23" s="1871"/>
      <c r="AF23" s="1871"/>
      <c r="AG23" s="1871"/>
      <c r="AH23" s="1871"/>
      <c r="AI23" s="1871"/>
      <c r="AJ23" s="1871"/>
      <c r="AK23" s="1871"/>
      <c r="AL23" s="1871"/>
      <c r="AM23" s="1871"/>
      <c r="AN23" s="263"/>
    </row>
    <row r="24" spans="2:40" ht="3" customHeight="1">
      <c r="B24" s="141"/>
      <c r="C24" s="217"/>
      <c r="D24" s="219"/>
      <c r="E24" s="219"/>
      <c r="F24" s="219"/>
      <c r="G24" s="219"/>
      <c r="H24" s="219"/>
      <c r="I24" s="219"/>
      <c r="J24" s="219"/>
      <c r="K24" s="219"/>
      <c r="L24" s="219"/>
      <c r="M24" s="219"/>
      <c r="N24" s="219"/>
      <c r="O24" s="219"/>
      <c r="P24" s="219"/>
      <c r="Q24" s="220"/>
      <c r="R24" s="67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6"/>
      <c r="AD24" s="141"/>
      <c r="AE24" s="66"/>
      <c r="AF24" s="66"/>
      <c r="AG24" s="66"/>
      <c r="AH24" s="66"/>
      <c r="AI24" s="66"/>
      <c r="AJ24" s="66"/>
      <c r="AK24" s="66"/>
      <c r="AL24" s="66"/>
      <c r="AM24" s="66"/>
      <c r="AN24" s="144"/>
    </row>
    <row r="25" spans="2:40" ht="15" customHeight="1">
      <c r="B25" s="141" t="s">
        <v>387</v>
      </c>
      <c r="C25" s="2624" t="s">
        <v>458</v>
      </c>
      <c r="D25" s="1322"/>
      <c r="E25" s="1322"/>
      <c r="F25" s="1322"/>
      <c r="G25" s="1322"/>
      <c r="H25" s="1322"/>
      <c r="I25" s="1322"/>
      <c r="J25" s="1322"/>
      <c r="K25" s="1322"/>
      <c r="L25" s="1322"/>
      <c r="M25" s="1322"/>
      <c r="N25" s="1322"/>
      <c r="O25" s="1322"/>
      <c r="P25" s="1322"/>
      <c r="Q25" s="1323"/>
      <c r="R25" s="376"/>
      <c r="S25" s="246"/>
      <c r="T25" s="246"/>
      <c r="U25" s="246"/>
      <c r="V25" s="246"/>
      <c r="W25" s="246"/>
      <c r="X25" s="246"/>
      <c r="Y25" s="246"/>
      <c r="Z25" s="246"/>
      <c r="AA25" s="246"/>
      <c r="AB25" s="246"/>
      <c r="AC25" s="258"/>
      <c r="AD25" s="376"/>
      <c r="AE25" s="246"/>
      <c r="AF25" s="246"/>
      <c r="AG25" s="246"/>
      <c r="AH25" s="246"/>
      <c r="AI25" s="246"/>
      <c r="AJ25" s="246"/>
      <c r="AK25" s="246"/>
      <c r="AL25" s="246"/>
      <c r="AM25" s="246"/>
      <c r="AN25" s="243"/>
    </row>
    <row r="26" spans="2:40" ht="15.5">
      <c r="B26" s="1293"/>
      <c r="C26" s="2625" t="s">
        <v>155</v>
      </c>
      <c r="D26" s="2626"/>
      <c r="E26" s="2626"/>
      <c r="F26" s="2626"/>
      <c r="G26" s="2626"/>
      <c r="H26" s="2626"/>
      <c r="I26" s="2626"/>
      <c r="J26" s="2626"/>
      <c r="K26" s="2626"/>
      <c r="L26" s="2626"/>
      <c r="M26" s="2626"/>
      <c r="N26" s="2626"/>
      <c r="O26" s="2626"/>
      <c r="P26" s="2626"/>
      <c r="Q26" s="2627"/>
      <c r="R26" s="377"/>
      <c r="S26" s="1871"/>
      <c r="T26" s="1871"/>
      <c r="U26" s="1871"/>
      <c r="V26" s="1871"/>
      <c r="W26" s="1871"/>
      <c r="X26" s="1871"/>
      <c r="Y26" s="1871"/>
      <c r="Z26" s="1871"/>
      <c r="AA26" s="1871"/>
      <c r="AB26" s="1871"/>
      <c r="AC26" s="261"/>
      <c r="AD26" s="377"/>
      <c r="AE26" s="1871"/>
      <c r="AF26" s="1871"/>
      <c r="AG26" s="1871"/>
      <c r="AH26" s="1871"/>
      <c r="AI26" s="1871"/>
      <c r="AJ26" s="1871"/>
      <c r="AK26" s="1871"/>
      <c r="AL26" s="1871"/>
      <c r="AM26" s="1871"/>
      <c r="AN26" s="263"/>
    </row>
    <row r="27" spans="2:40" ht="3" customHeight="1">
      <c r="B27" s="142"/>
      <c r="C27" s="1427"/>
      <c r="D27" s="1428"/>
      <c r="E27" s="1428"/>
      <c r="F27" s="1428"/>
      <c r="G27" s="1428"/>
      <c r="H27" s="1428"/>
      <c r="I27" s="1428"/>
      <c r="J27" s="1428"/>
      <c r="K27" s="1428"/>
      <c r="L27" s="1428"/>
      <c r="M27" s="1428"/>
      <c r="N27" s="1428"/>
      <c r="O27" s="1428"/>
      <c r="P27" s="1428"/>
      <c r="Q27" s="1429"/>
      <c r="R27" s="1307"/>
      <c r="S27" s="624"/>
      <c r="T27" s="624"/>
      <c r="U27" s="624"/>
      <c r="V27" s="624"/>
      <c r="W27" s="624"/>
      <c r="X27" s="624"/>
      <c r="Y27" s="624"/>
      <c r="Z27" s="624"/>
      <c r="AA27" s="624"/>
      <c r="AB27" s="624"/>
      <c r="AC27" s="624"/>
      <c r="AD27" s="1869"/>
      <c r="AE27" s="1870"/>
      <c r="AF27" s="1870"/>
      <c r="AG27" s="1870"/>
      <c r="AH27" s="1870"/>
      <c r="AI27" s="1870"/>
      <c r="AJ27" s="1870"/>
      <c r="AK27" s="1870"/>
      <c r="AL27" s="1870"/>
      <c r="AM27" s="1870"/>
      <c r="AN27" s="1356"/>
    </row>
    <row r="28" spans="2:40" ht="15" customHeight="1">
      <c r="B28" s="141" t="s">
        <v>388</v>
      </c>
      <c r="C28" s="2540" t="s">
        <v>130</v>
      </c>
      <c r="D28" s="298"/>
      <c r="E28" s="298"/>
      <c r="F28" s="298"/>
      <c r="G28" s="298"/>
      <c r="H28" s="298"/>
      <c r="I28" s="298"/>
      <c r="J28" s="298"/>
      <c r="K28" s="298"/>
      <c r="L28" s="298"/>
      <c r="M28" s="298"/>
      <c r="N28" s="112"/>
      <c r="O28" s="112"/>
      <c r="P28" s="112"/>
      <c r="Q28" s="222"/>
      <c r="R28" s="37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58"/>
      <c r="AD28" s="376"/>
      <c r="AE28" s="246"/>
      <c r="AF28" s="246"/>
      <c r="AG28" s="246"/>
      <c r="AH28" s="246"/>
      <c r="AI28" s="246"/>
      <c r="AJ28" s="246"/>
      <c r="AK28" s="246"/>
      <c r="AL28" s="246"/>
      <c r="AM28" s="246"/>
      <c r="AN28" s="243"/>
    </row>
    <row r="29" spans="2:40" ht="8.25" customHeight="1">
      <c r="B29" s="1293"/>
      <c r="C29" s="2541"/>
      <c r="D29" s="2542"/>
      <c r="E29" s="2542"/>
      <c r="F29" s="2542"/>
      <c r="G29" s="2542"/>
      <c r="H29" s="2542"/>
      <c r="I29" s="2542"/>
      <c r="J29" s="2542"/>
      <c r="K29" s="2542"/>
      <c r="L29" s="2542"/>
      <c r="M29" s="2542"/>
      <c r="N29" s="1430"/>
      <c r="O29" s="1430"/>
      <c r="P29" s="1430"/>
      <c r="Q29" s="1431"/>
      <c r="R29" s="377"/>
      <c r="S29" s="1871"/>
      <c r="T29" s="1871"/>
      <c r="U29" s="1871"/>
      <c r="V29" s="1871"/>
      <c r="W29" s="1871"/>
      <c r="X29" s="1871"/>
      <c r="Y29" s="1871"/>
      <c r="Z29" s="1871"/>
      <c r="AA29" s="1871"/>
      <c r="AB29" s="1871"/>
      <c r="AC29" s="261"/>
      <c r="AD29" s="377"/>
      <c r="AE29" s="1871"/>
      <c r="AF29" s="1871"/>
      <c r="AG29" s="1871"/>
      <c r="AH29" s="1871"/>
      <c r="AI29" s="1871"/>
      <c r="AJ29" s="1871"/>
      <c r="AK29" s="1871"/>
      <c r="AL29" s="1871"/>
      <c r="AM29" s="1871"/>
      <c r="AN29" s="263"/>
    </row>
    <row r="30" spans="2:40" ht="3" customHeight="1">
      <c r="B30" s="142"/>
      <c r="C30" s="1432"/>
      <c r="D30" s="1433"/>
      <c r="E30" s="1433"/>
      <c r="F30" s="1433"/>
      <c r="G30" s="1433"/>
      <c r="H30" s="1433"/>
      <c r="I30" s="1433"/>
      <c r="J30" s="1433"/>
      <c r="K30" s="1433"/>
      <c r="L30" s="1433"/>
      <c r="M30" s="1433"/>
      <c r="N30" s="1433"/>
      <c r="O30" s="1433"/>
      <c r="P30" s="1433"/>
      <c r="Q30" s="1434"/>
      <c r="R30" s="1307"/>
      <c r="S30" s="624"/>
      <c r="T30" s="624"/>
      <c r="U30" s="624"/>
      <c r="V30" s="624"/>
      <c r="W30" s="624"/>
      <c r="X30" s="624"/>
      <c r="Y30" s="624"/>
      <c r="Z30" s="624"/>
      <c r="AA30" s="624"/>
      <c r="AB30" s="624"/>
      <c r="AC30" s="624"/>
      <c r="AD30" s="1869"/>
      <c r="AE30" s="1870"/>
      <c r="AF30" s="1870"/>
      <c r="AG30" s="1870"/>
      <c r="AH30" s="1870"/>
      <c r="AI30" s="1870"/>
      <c r="AJ30" s="1870"/>
      <c r="AK30" s="1870"/>
      <c r="AL30" s="1870"/>
      <c r="AM30" s="1870"/>
      <c r="AN30" s="1356"/>
    </row>
    <row r="31" spans="2:40" ht="15" customHeight="1">
      <c r="B31" s="141" t="s">
        <v>389</v>
      </c>
      <c r="C31" s="2618" t="s">
        <v>51</v>
      </c>
      <c r="D31" s="2619"/>
      <c r="E31" s="2619"/>
      <c r="F31" s="2619"/>
      <c r="G31" s="2619"/>
      <c r="H31" s="2619"/>
      <c r="I31" s="2619"/>
      <c r="J31" s="2619"/>
      <c r="K31" s="2619"/>
      <c r="L31" s="2619"/>
      <c r="M31" s="2619"/>
      <c r="N31" s="2619"/>
      <c r="O31" s="2619"/>
      <c r="P31" s="2619"/>
      <c r="Q31" s="2620"/>
      <c r="R31" s="37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58"/>
      <c r="AD31" s="376"/>
      <c r="AE31" s="246"/>
      <c r="AF31" s="246"/>
      <c r="AG31" s="246"/>
      <c r="AH31" s="246"/>
      <c r="AI31" s="246"/>
      <c r="AJ31" s="246"/>
      <c r="AK31" s="246"/>
      <c r="AL31" s="246"/>
      <c r="AM31" s="246"/>
      <c r="AN31" s="243"/>
    </row>
    <row r="32" spans="2:40" ht="9" customHeight="1">
      <c r="B32" s="1293"/>
      <c r="C32" s="2621"/>
      <c r="D32" s="2622"/>
      <c r="E32" s="2622"/>
      <c r="F32" s="2622"/>
      <c r="G32" s="2622"/>
      <c r="H32" s="2622"/>
      <c r="I32" s="2622"/>
      <c r="J32" s="2622"/>
      <c r="K32" s="2622"/>
      <c r="L32" s="2622"/>
      <c r="M32" s="2622"/>
      <c r="N32" s="2622"/>
      <c r="O32" s="2622"/>
      <c r="P32" s="2622"/>
      <c r="Q32" s="2623"/>
      <c r="R32" s="377"/>
      <c r="S32" s="1871"/>
      <c r="T32" s="1871"/>
      <c r="U32" s="1871"/>
      <c r="V32" s="1871"/>
      <c r="W32" s="1871"/>
      <c r="X32" s="1871"/>
      <c r="Y32" s="1871"/>
      <c r="Z32" s="1871"/>
      <c r="AA32" s="1871"/>
      <c r="AB32" s="1871"/>
      <c r="AC32" s="261"/>
      <c r="AD32" s="377"/>
      <c r="AE32" s="1871"/>
      <c r="AF32" s="1871"/>
      <c r="AG32" s="1871"/>
      <c r="AH32" s="1871"/>
      <c r="AI32" s="1871"/>
      <c r="AJ32" s="1871"/>
      <c r="AK32" s="1871"/>
      <c r="AL32" s="1871"/>
      <c r="AM32" s="1871"/>
      <c r="AN32" s="263"/>
    </row>
    <row r="33" spans="2:40" ht="3" customHeight="1">
      <c r="B33" s="142"/>
      <c r="C33" s="1427"/>
      <c r="D33" s="1428"/>
      <c r="E33" s="1428"/>
      <c r="F33" s="1428"/>
      <c r="G33" s="1428"/>
      <c r="H33" s="1428"/>
      <c r="I33" s="1428"/>
      <c r="J33" s="1428"/>
      <c r="K33" s="1428"/>
      <c r="L33" s="1428"/>
      <c r="M33" s="1428"/>
      <c r="N33" s="1428"/>
      <c r="O33" s="1428"/>
      <c r="P33" s="1428"/>
      <c r="Q33" s="1429"/>
      <c r="R33" s="1307"/>
      <c r="S33" s="624"/>
      <c r="T33" s="624"/>
      <c r="U33" s="624"/>
      <c r="V33" s="624"/>
      <c r="W33" s="624"/>
      <c r="X33" s="624"/>
      <c r="Y33" s="624"/>
      <c r="Z33" s="624"/>
      <c r="AA33" s="624"/>
      <c r="AB33" s="624"/>
      <c r="AC33" s="624"/>
      <c r="AD33" s="1869"/>
      <c r="AE33" s="1870"/>
      <c r="AF33" s="1870"/>
      <c r="AG33" s="1870"/>
      <c r="AH33" s="1870"/>
      <c r="AI33" s="1870"/>
      <c r="AJ33" s="1870"/>
      <c r="AK33" s="1870"/>
      <c r="AL33" s="1870"/>
      <c r="AM33" s="1870"/>
      <c r="AN33" s="1356"/>
    </row>
    <row r="34" spans="2:40" ht="15" customHeight="1">
      <c r="B34" s="141" t="s">
        <v>390</v>
      </c>
      <c r="C34" s="175" t="s">
        <v>86</v>
      </c>
      <c r="D34" s="96"/>
      <c r="E34" s="96"/>
      <c r="F34" s="96"/>
      <c r="G34" s="96"/>
      <c r="H34" s="96"/>
      <c r="I34" s="96"/>
      <c r="J34" s="96"/>
      <c r="K34" s="96"/>
      <c r="L34" s="96"/>
      <c r="M34" s="96"/>
      <c r="N34" s="96"/>
      <c r="O34" s="96"/>
      <c r="P34" s="96"/>
      <c r="Q34" s="220"/>
      <c r="R34" s="376"/>
      <c r="S34" s="246"/>
      <c r="T34" s="246"/>
      <c r="U34" s="246"/>
      <c r="V34" s="246"/>
      <c r="W34" s="246"/>
      <c r="X34" s="246"/>
      <c r="Y34" s="246"/>
      <c r="Z34" s="246"/>
      <c r="AA34" s="246"/>
      <c r="AB34" s="246"/>
      <c r="AC34" s="258"/>
      <c r="AD34" s="376"/>
      <c r="AE34" s="246"/>
      <c r="AF34" s="246"/>
      <c r="AG34" s="246"/>
      <c r="AH34" s="246"/>
      <c r="AI34" s="246"/>
      <c r="AJ34" s="246"/>
      <c r="AK34" s="246"/>
      <c r="AL34" s="246"/>
      <c r="AM34" s="246"/>
      <c r="AN34" s="243"/>
    </row>
    <row r="35" spans="2:40" ht="15" customHeight="1">
      <c r="B35" s="1293"/>
      <c r="C35" s="2628" t="s">
        <v>432</v>
      </c>
      <c r="D35" s="2629"/>
      <c r="E35" s="2629"/>
      <c r="F35" s="2629"/>
      <c r="G35" s="2629"/>
      <c r="H35" s="2629"/>
      <c r="I35" s="2629"/>
      <c r="J35" s="2629"/>
      <c r="K35" s="2629"/>
      <c r="L35" s="2629"/>
      <c r="M35" s="2629"/>
      <c r="N35" s="2629"/>
      <c r="O35" s="2629"/>
      <c r="P35" s="2629"/>
      <c r="Q35" s="1435"/>
      <c r="R35" s="377"/>
      <c r="S35" s="1871"/>
      <c r="T35" s="1871"/>
      <c r="U35" s="1871"/>
      <c r="V35" s="1871"/>
      <c r="W35" s="1871"/>
      <c r="X35" s="1871"/>
      <c r="Y35" s="1871"/>
      <c r="Z35" s="1871"/>
      <c r="AA35" s="1871"/>
      <c r="AB35" s="1871"/>
      <c r="AC35" s="261"/>
      <c r="AD35" s="377"/>
      <c r="AE35" s="1871"/>
      <c r="AF35" s="1871"/>
      <c r="AG35" s="1871"/>
      <c r="AH35" s="1871"/>
      <c r="AI35" s="1871"/>
      <c r="AJ35" s="1871"/>
      <c r="AK35" s="1871"/>
      <c r="AL35" s="1871"/>
      <c r="AM35" s="1871"/>
      <c r="AN35" s="263"/>
    </row>
    <row r="36" spans="2:40" ht="3" customHeight="1">
      <c r="B36" s="141"/>
      <c r="C36" s="217"/>
      <c r="D36" s="219"/>
      <c r="E36" s="219"/>
      <c r="F36" s="219"/>
      <c r="G36" s="219"/>
      <c r="H36" s="219"/>
      <c r="I36" s="219"/>
      <c r="J36" s="219"/>
      <c r="K36" s="219"/>
      <c r="L36" s="219"/>
      <c r="M36" s="219"/>
      <c r="N36" s="219"/>
      <c r="O36" s="219"/>
      <c r="P36" s="219"/>
      <c r="Q36" s="220"/>
      <c r="R36" s="67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141"/>
      <c r="AE36" s="66"/>
      <c r="AF36" s="66"/>
      <c r="AG36" s="66"/>
      <c r="AH36" s="66"/>
      <c r="AI36" s="66"/>
      <c r="AJ36" s="66"/>
      <c r="AK36" s="66"/>
      <c r="AL36" s="66"/>
      <c r="AM36" s="66"/>
      <c r="AN36" s="144"/>
    </row>
    <row r="37" spans="2:40" ht="15" customHeight="1">
      <c r="B37" s="141" t="s">
        <v>391</v>
      </c>
      <c r="C37" s="2540" t="s">
        <v>156</v>
      </c>
      <c r="D37" s="298"/>
      <c r="E37" s="298"/>
      <c r="F37" s="298"/>
      <c r="G37" s="298"/>
      <c r="H37" s="298"/>
      <c r="I37" s="298"/>
      <c r="J37" s="298"/>
      <c r="K37" s="298"/>
      <c r="L37" s="298"/>
      <c r="M37" s="298"/>
      <c r="N37" s="298"/>
      <c r="O37" s="298"/>
      <c r="P37" s="298"/>
      <c r="Q37" s="1398"/>
      <c r="R37" s="376"/>
      <c r="S37" s="246"/>
      <c r="T37" s="246"/>
      <c r="U37" s="246"/>
      <c r="V37" s="246"/>
      <c r="W37" s="246"/>
      <c r="X37" s="246"/>
      <c r="Y37" s="246"/>
      <c r="Z37" s="246"/>
      <c r="AA37" s="246"/>
      <c r="AB37" s="246"/>
      <c r="AC37" s="258"/>
      <c r="AD37" s="376"/>
      <c r="AE37" s="246"/>
      <c r="AF37" s="246"/>
      <c r="AG37" s="246"/>
      <c r="AH37" s="246"/>
      <c r="AI37" s="246"/>
      <c r="AJ37" s="246"/>
      <c r="AK37" s="246"/>
      <c r="AL37" s="246"/>
      <c r="AM37" s="246"/>
      <c r="AN37" s="243"/>
    </row>
    <row r="38" spans="2:40" ht="6.75" customHeight="1">
      <c r="B38" s="1293"/>
      <c r="C38" s="2541"/>
      <c r="D38" s="2542"/>
      <c r="E38" s="2542"/>
      <c r="F38" s="2542"/>
      <c r="G38" s="2542"/>
      <c r="H38" s="2542"/>
      <c r="I38" s="2542"/>
      <c r="J38" s="2542"/>
      <c r="K38" s="2542"/>
      <c r="L38" s="2542"/>
      <c r="M38" s="2542"/>
      <c r="N38" s="2542"/>
      <c r="O38" s="2542"/>
      <c r="P38" s="2542"/>
      <c r="Q38" s="2543"/>
      <c r="R38" s="377"/>
      <c r="S38" s="1871"/>
      <c r="T38" s="1871"/>
      <c r="U38" s="1871"/>
      <c r="V38" s="1871"/>
      <c r="W38" s="1871"/>
      <c r="X38" s="1871"/>
      <c r="Y38" s="1871"/>
      <c r="Z38" s="1871"/>
      <c r="AA38" s="1871"/>
      <c r="AB38" s="1871"/>
      <c r="AC38" s="261"/>
      <c r="AD38" s="377"/>
      <c r="AE38" s="1871"/>
      <c r="AF38" s="1871"/>
      <c r="AG38" s="1871"/>
      <c r="AH38" s="1871"/>
      <c r="AI38" s="1871"/>
      <c r="AJ38" s="1871"/>
      <c r="AK38" s="1871"/>
      <c r="AL38" s="1871"/>
      <c r="AM38" s="1871"/>
      <c r="AN38" s="263"/>
    </row>
    <row r="39" spans="2:40" ht="3" customHeight="1">
      <c r="B39" s="141"/>
      <c r="C39" s="221"/>
      <c r="D39" s="112"/>
      <c r="E39" s="112"/>
      <c r="F39" s="112"/>
      <c r="G39" s="112"/>
      <c r="H39" s="112"/>
      <c r="I39" s="112"/>
      <c r="J39" s="112"/>
      <c r="K39" s="112"/>
      <c r="L39" s="112"/>
      <c r="M39" s="112"/>
      <c r="N39" s="112"/>
      <c r="O39" s="112"/>
      <c r="P39" s="112"/>
      <c r="Q39" s="222"/>
      <c r="R39" s="67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141"/>
      <c r="AE39" s="66"/>
      <c r="AF39" s="66"/>
      <c r="AG39" s="66"/>
      <c r="AH39" s="66"/>
      <c r="AI39" s="66"/>
      <c r="AJ39" s="66"/>
      <c r="AK39" s="66"/>
      <c r="AL39" s="66"/>
      <c r="AM39" s="66"/>
      <c r="AN39" s="144"/>
    </row>
    <row r="40" spans="2:40" ht="15" customHeight="1">
      <c r="B40" s="141" t="s">
        <v>394</v>
      </c>
      <c r="C40" s="2540" t="s">
        <v>177</v>
      </c>
      <c r="D40" s="298"/>
      <c r="E40" s="298"/>
      <c r="F40" s="298"/>
      <c r="G40" s="298"/>
      <c r="H40" s="298"/>
      <c r="I40" s="298"/>
      <c r="J40" s="298"/>
      <c r="K40" s="298"/>
      <c r="L40" s="298"/>
      <c r="M40" s="298"/>
      <c r="N40" s="298"/>
      <c r="O40" s="298"/>
      <c r="P40" s="298"/>
      <c r="Q40" s="222"/>
      <c r="R40" s="376"/>
      <c r="S40" s="246"/>
      <c r="T40" s="246"/>
      <c r="U40" s="246"/>
      <c r="V40" s="246"/>
      <c r="W40" s="246"/>
      <c r="X40" s="246"/>
      <c r="Y40" s="246"/>
      <c r="Z40" s="246"/>
      <c r="AA40" s="246"/>
      <c r="AB40" s="246"/>
      <c r="AC40" s="258"/>
      <c r="AD40" s="2124"/>
      <c r="AE40" s="2125"/>
      <c r="AF40" s="2125"/>
      <c r="AG40" s="2125"/>
      <c r="AH40" s="2125"/>
      <c r="AI40" s="2125"/>
      <c r="AJ40" s="2125"/>
      <c r="AK40" s="2125"/>
      <c r="AL40" s="2125"/>
      <c r="AM40" s="2125"/>
      <c r="AN40" s="266"/>
    </row>
    <row r="41" spans="2:40" ht="10.5" customHeight="1">
      <c r="B41" s="141"/>
      <c r="C41" s="2540"/>
      <c r="D41" s="298"/>
      <c r="E41" s="298"/>
      <c r="F41" s="298"/>
      <c r="G41" s="298"/>
      <c r="H41" s="298"/>
      <c r="I41" s="298"/>
      <c r="J41" s="298"/>
      <c r="K41" s="298"/>
      <c r="L41" s="298"/>
      <c r="M41" s="298"/>
      <c r="N41" s="298"/>
      <c r="O41" s="298"/>
      <c r="P41" s="298"/>
      <c r="Q41" s="222"/>
      <c r="R41" s="376"/>
      <c r="S41" s="246"/>
      <c r="T41" s="246"/>
      <c r="U41" s="246"/>
      <c r="V41" s="246"/>
      <c r="W41" s="246"/>
      <c r="X41" s="246"/>
      <c r="Y41" s="246"/>
      <c r="Z41" s="246"/>
      <c r="AA41" s="246"/>
      <c r="AB41" s="246"/>
      <c r="AC41" s="258"/>
      <c r="AD41" s="2124"/>
      <c r="AE41" s="2125"/>
      <c r="AF41" s="2125"/>
      <c r="AG41" s="2125"/>
      <c r="AH41" s="2125"/>
      <c r="AI41" s="2125"/>
      <c r="AJ41" s="2125"/>
      <c r="AK41" s="2125"/>
      <c r="AL41" s="2125"/>
      <c r="AM41" s="2125"/>
      <c r="AN41" s="266"/>
    </row>
    <row r="42" spans="2:40" ht="3" customHeight="1">
      <c r="B42" s="141"/>
      <c r="C42" s="221"/>
      <c r="D42" s="112"/>
      <c r="E42" s="112"/>
      <c r="F42" s="112"/>
      <c r="G42" s="112"/>
      <c r="H42" s="112"/>
      <c r="I42" s="112"/>
      <c r="J42" s="112"/>
      <c r="K42" s="112"/>
      <c r="L42" s="112"/>
      <c r="M42" s="112"/>
      <c r="N42" s="112"/>
      <c r="O42" s="112"/>
      <c r="P42" s="112"/>
      <c r="Q42" s="222"/>
      <c r="R42" s="67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141"/>
      <c r="AE42" s="66"/>
      <c r="AF42" s="66"/>
      <c r="AG42" s="66"/>
      <c r="AH42" s="66"/>
      <c r="AI42" s="66"/>
      <c r="AJ42" s="66"/>
      <c r="AK42" s="66"/>
      <c r="AL42" s="66"/>
      <c r="AM42" s="66"/>
      <c r="AN42" s="144"/>
    </row>
    <row r="43" spans="2:40" ht="15" customHeight="1">
      <c r="B43" s="142" t="s">
        <v>395</v>
      </c>
      <c r="C43" s="2591" t="s">
        <v>178</v>
      </c>
      <c r="D43" s="2544"/>
      <c r="E43" s="2544"/>
      <c r="F43" s="2544"/>
      <c r="G43" s="2544"/>
      <c r="H43" s="2544"/>
      <c r="I43" s="2544"/>
      <c r="J43" s="2544"/>
      <c r="K43" s="2544"/>
      <c r="L43" s="2544"/>
      <c r="M43" s="2544"/>
      <c r="N43" s="2649"/>
      <c r="O43" s="2649"/>
      <c r="P43" s="2649"/>
      <c r="Q43" s="2650"/>
      <c r="R43" s="1869"/>
      <c r="S43" s="1870"/>
      <c r="T43" s="1870"/>
      <c r="U43" s="1870"/>
      <c r="V43" s="1870"/>
      <c r="W43" s="1870"/>
      <c r="X43" s="1870"/>
      <c r="Y43" s="1870"/>
      <c r="Z43" s="1870"/>
      <c r="AA43" s="1870"/>
      <c r="AB43" s="1870"/>
      <c r="AC43" s="262"/>
      <c r="AD43" s="1869"/>
      <c r="AE43" s="1870"/>
      <c r="AF43" s="1870"/>
      <c r="AG43" s="1870"/>
      <c r="AH43" s="1870"/>
      <c r="AI43" s="1870"/>
      <c r="AJ43" s="1870"/>
      <c r="AK43" s="1870"/>
      <c r="AL43" s="1870"/>
      <c r="AM43" s="1870"/>
      <c r="AN43" s="256"/>
    </row>
    <row r="44" spans="2:40" ht="8.25" customHeight="1">
      <c r="B44" s="1293"/>
      <c r="C44" s="2541"/>
      <c r="D44" s="2542"/>
      <c r="E44" s="2542"/>
      <c r="F44" s="2542"/>
      <c r="G44" s="2542"/>
      <c r="H44" s="2542"/>
      <c r="I44" s="2542"/>
      <c r="J44" s="2542"/>
      <c r="K44" s="2542"/>
      <c r="L44" s="2542"/>
      <c r="M44" s="2542"/>
      <c r="N44" s="2651"/>
      <c r="O44" s="2651"/>
      <c r="P44" s="2651"/>
      <c r="Q44" s="2652"/>
      <c r="R44" s="377"/>
      <c r="S44" s="1871"/>
      <c r="T44" s="1871"/>
      <c r="U44" s="1871"/>
      <c r="V44" s="1871"/>
      <c r="W44" s="1871"/>
      <c r="X44" s="1871"/>
      <c r="Y44" s="1871"/>
      <c r="Z44" s="1871"/>
      <c r="AA44" s="1871"/>
      <c r="AB44" s="1871"/>
      <c r="AC44" s="261"/>
      <c r="AD44" s="377"/>
      <c r="AE44" s="1871"/>
      <c r="AF44" s="1871"/>
      <c r="AG44" s="1871"/>
      <c r="AH44" s="1871"/>
      <c r="AI44" s="1871"/>
      <c r="AJ44" s="1871"/>
      <c r="AK44" s="1871"/>
      <c r="AL44" s="1871"/>
      <c r="AM44" s="1871"/>
      <c r="AN44" s="263"/>
    </row>
    <row r="45" spans="2:40" ht="3" customHeight="1">
      <c r="B45" s="142"/>
      <c r="C45" s="1427"/>
      <c r="D45" s="1428"/>
      <c r="E45" s="1428"/>
      <c r="F45" s="1428"/>
      <c r="G45" s="1428"/>
      <c r="H45" s="1428"/>
      <c r="I45" s="1428"/>
      <c r="J45" s="1428"/>
      <c r="K45" s="1428"/>
      <c r="L45" s="1428"/>
      <c r="M45" s="1428"/>
      <c r="N45" s="1428"/>
      <c r="O45" s="1436"/>
      <c r="P45" s="1436"/>
      <c r="Q45" s="1429"/>
      <c r="R45" s="1307"/>
      <c r="S45" s="624"/>
      <c r="T45" s="624"/>
      <c r="U45" s="624"/>
      <c r="V45" s="624"/>
      <c r="W45" s="624"/>
      <c r="X45" s="624"/>
      <c r="Y45" s="624"/>
      <c r="Z45" s="624"/>
      <c r="AA45" s="624"/>
      <c r="AB45" s="624"/>
      <c r="AC45" s="624"/>
      <c r="AD45" s="1869"/>
      <c r="AE45" s="1870"/>
      <c r="AF45" s="1870"/>
      <c r="AG45" s="1870"/>
      <c r="AH45" s="1870"/>
      <c r="AI45" s="1870"/>
      <c r="AJ45" s="1870"/>
      <c r="AK45" s="1870"/>
      <c r="AL45" s="1870"/>
      <c r="AM45" s="1870"/>
      <c r="AN45" s="1356"/>
    </row>
    <row r="46" spans="2:40" ht="15" customHeight="1">
      <c r="B46" s="141" t="s">
        <v>396</v>
      </c>
      <c r="C46" s="2643" t="s">
        <v>433</v>
      </c>
      <c r="D46" s="2644"/>
      <c r="E46" s="2644"/>
      <c r="F46" s="2644"/>
      <c r="G46" s="2644"/>
      <c r="H46" s="2644"/>
      <c r="I46" s="2644"/>
      <c r="J46" s="2644"/>
      <c r="K46" s="2644"/>
      <c r="L46" s="2644"/>
      <c r="M46" s="2644"/>
      <c r="N46" s="2644"/>
      <c r="O46" s="2644"/>
      <c r="P46" s="2644"/>
      <c r="Q46" s="2645"/>
      <c r="R46" s="376"/>
      <c r="S46" s="246"/>
      <c r="T46" s="246"/>
      <c r="U46" s="246"/>
      <c r="V46" s="246"/>
      <c r="W46" s="246"/>
      <c r="X46" s="246"/>
      <c r="Y46" s="246"/>
      <c r="Z46" s="246"/>
      <c r="AA46" s="246"/>
      <c r="AB46" s="246"/>
      <c r="AC46" s="258"/>
      <c r="AD46" s="376"/>
      <c r="AE46" s="246"/>
      <c r="AF46" s="246"/>
      <c r="AG46" s="246"/>
      <c r="AH46" s="246"/>
      <c r="AI46" s="246"/>
      <c r="AJ46" s="246"/>
      <c r="AK46" s="246"/>
      <c r="AL46" s="246"/>
      <c r="AM46" s="246"/>
      <c r="AN46" s="243"/>
    </row>
    <row r="47" spans="2:40" ht="15" customHeight="1">
      <c r="B47" s="1293"/>
      <c r="C47" s="2646"/>
      <c r="D47" s="2647"/>
      <c r="E47" s="2647"/>
      <c r="F47" s="2647"/>
      <c r="G47" s="2647"/>
      <c r="H47" s="2647"/>
      <c r="I47" s="2647"/>
      <c r="J47" s="2647"/>
      <c r="K47" s="2647"/>
      <c r="L47" s="2647"/>
      <c r="M47" s="2647"/>
      <c r="N47" s="2647"/>
      <c r="O47" s="2647"/>
      <c r="P47" s="2647"/>
      <c r="Q47" s="2648"/>
      <c r="R47" s="377"/>
      <c r="S47" s="1871"/>
      <c r="T47" s="1871"/>
      <c r="U47" s="1871"/>
      <c r="V47" s="1871"/>
      <c r="W47" s="1871"/>
      <c r="X47" s="1871"/>
      <c r="Y47" s="1871"/>
      <c r="Z47" s="1871"/>
      <c r="AA47" s="1871"/>
      <c r="AB47" s="1871"/>
      <c r="AC47" s="261"/>
      <c r="AD47" s="377"/>
      <c r="AE47" s="1871"/>
      <c r="AF47" s="1871"/>
      <c r="AG47" s="1871"/>
      <c r="AH47" s="1871"/>
      <c r="AI47" s="1871"/>
      <c r="AJ47" s="1871"/>
      <c r="AK47" s="1871"/>
      <c r="AL47" s="1871"/>
      <c r="AM47" s="1871"/>
      <c r="AN47" s="263"/>
    </row>
    <row r="48" spans="2:40" ht="3" customHeight="1">
      <c r="B48" s="142"/>
      <c r="C48" s="1427"/>
      <c r="D48" s="1428"/>
      <c r="E48" s="1428"/>
      <c r="F48" s="1428"/>
      <c r="G48" s="1428"/>
      <c r="H48" s="1428"/>
      <c r="I48" s="1428"/>
      <c r="J48" s="1428"/>
      <c r="K48" s="1428"/>
      <c r="L48" s="1428"/>
      <c r="M48" s="1428"/>
      <c r="N48" s="1428"/>
      <c r="O48" s="1436"/>
      <c r="P48" s="1436"/>
      <c r="Q48" s="1429"/>
      <c r="R48" s="1307"/>
      <c r="S48" s="624"/>
      <c r="T48" s="624"/>
      <c r="U48" s="624"/>
      <c r="V48" s="624"/>
      <c r="W48" s="624"/>
      <c r="X48" s="624"/>
      <c r="Y48" s="624"/>
      <c r="Z48" s="624"/>
      <c r="AA48" s="624"/>
      <c r="AB48" s="624"/>
      <c r="AC48" s="624"/>
      <c r="AD48" s="1869"/>
      <c r="AE48" s="1870"/>
      <c r="AF48" s="1870"/>
      <c r="AG48" s="1870"/>
      <c r="AH48" s="1870"/>
      <c r="AI48" s="1870"/>
      <c r="AJ48" s="1870"/>
      <c r="AK48" s="1870"/>
      <c r="AL48" s="1870"/>
      <c r="AM48" s="1870"/>
      <c r="AN48" s="1356"/>
    </row>
    <row r="49" spans="2:40" ht="15" customHeight="1">
      <c r="B49" s="141" t="s">
        <v>397</v>
      </c>
      <c r="C49" s="2643" t="s">
        <v>434</v>
      </c>
      <c r="D49" s="2644"/>
      <c r="E49" s="2644"/>
      <c r="F49" s="2644"/>
      <c r="G49" s="2644"/>
      <c r="H49" s="2644"/>
      <c r="I49" s="2644"/>
      <c r="J49" s="2644"/>
      <c r="K49" s="2644"/>
      <c r="L49" s="2644"/>
      <c r="M49" s="2644"/>
      <c r="N49" s="2644"/>
      <c r="O49" s="2644"/>
      <c r="P49" s="2644"/>
      <c r="Q49" s="2645"/>
      <c r="R49" s="376"/>
      <c r="S49" s="246"/>
      <c r="T49" s="246"/>
      <c r="U49" s="246"/>
      <c r="V49" s="246"/>
      <c r="W49" s="246"/>
      <c r="X49" s="246"/>
      <c r="Y49" s="246"/>
      <c r="Z49" s="246"/>
      <c r="AA49" s="246"/>
      <c r="AB49" s="246"/>
      <c r="AC49" s="258"/>
      <c r="AD49" s="376"/>
      <c r="AE49" s="246"/>
      <c r="AF49" s="246"/>
      <c r="AG49" s="246"/>
      <c r="AH49" s="246"/>
      <c r="AI49" s="246"/>
      <c r="AJ49" s="246"/>
      <c r="AK49" s="246"/>
      <c r="AL49" s="246"/>
      <c r="AM49" s="246"/>
      <c r="AN49" s="243"/>
    </row>
    <row r="50" spans="2:40" ht="15" customHeight="1">
      <c r="B50" s="1293"/>
      <c r="C50" s="2646"/>
      <c r="D50" s="2647"/>
      <c r="E50" s="2647"/>
      <c r="F50" s="2647"/>
      <c r="G50" s="2647"/>
      <c r="H50" s="2647"/>
      <c r="I50" s="2647"/>
      <c r="J50" s="2647"/>
      <c r="K50" s="2647"/>
      <c r="L50" s="2647"/>
      <c r="M50" s="2647"/>
      <c r="N50" s="2647"/>
      <c r="O50" s="2647"/>
      <c r="P50" s="2647"/>
      <c r="Q50" s="2648"/>
      <c r="R50" s="377"/>
      <c r="S50" s="1871"/>
      <c r="T50" s="1871"/>
      <c r="U50" s="1871"/>
      <c r="V50" s="1871"/>
      <c r="W50" s="1871"/>
      <c r="X50" s="1871"/>
      <c r="Y50" s="1871"/>
      <c r="Z50" s="1871"/>
      <c r="AA50" s="1871"/>
      <c r="AB50" s="1871"/>
      <c r="AC50" s="261"/>
      <c r="AD50" s="377"/>
      <c r="AE50" s="1871"/>
      <c r="AF50" s="1871"/>
      <c r="AG50" s="1871"/>
      <c r="AH50" s="1871"/>
      <c r="AI50" s="1871"/>
      <c r="AJ50" s="1871"/>
      <c r="AK50" s="1871"/>
      <c r="AL50" s="1871"/>
      <c r="AM50" s="1871"/>
      <c r="AN50" s="263"/>
    </row>
    <row r="51" spans="2:40" ht="3" customHeight="1">
      <c r="B51" s="142"/>
      <c r="C51" s="1427"/>
      <c r="D51" s="1428"/>
      <c r="E51" s="1428"/>
      <c r="F51" s="1428"/>
      <c r="G51" s="1428"/>
      <c r="H51" s="1428"/>
      <c r="I51" s="1428"/>
      <c r="J51" s="1428"/>
      <c r="K51" s="1428"/>
      <c r="L51" s="1428"/>
      <c r="M51" s="1428"/>
      <c r="N51" s="1428"/>
      <c r="O51" s="1436"/>
      <c r="P51" s="1436"/>
      <c r="Q51" s="1429"/>
      <c r="R51" s="1388"/>
      <c r="S51" s="1389"/>
      <c r="T51" s="1389"/>
      <c r="U51" s="1389"/>
      <c r="V51" s="1389"/>
      <c r="W51" s="1389"/>
      <c r="X51" s="1389"/>
      <c r="Y51" s="1389"/>
      <c r="Z51" s="1389"/>
      <c r="AA51" s="1389"/>
      <c r="AB51" s="1389"/>
      <c r="AC51" s="1389"/>
      <c r="AD51" s="2126"/>
      <c r="AE51" s="2127"/>
      <c r="AF51" s="2127"/>
      <c r="AG51" s="2127"/>
      <c r="AH51" s="2127"/>
      <c r="AI51" s="2127"/>
      <c r="AJ51" s="2127"/>
      <c r="AK51" s="2127"/>
      <c r="AL51" s="2127"/>
      <c r="AM51" s="2127"/>
      <c r="AN51" s="1366"/>
    </row>
    <row r="52" spans="2:40" ht="15" customHeight="1">
      <c r="B52" s="141" t="s">
        <v>398</v>
      </c>
      <c r="C52" s="2624" t="s">
        <v>435</v>
      </c>
      <c r="D52" s="1322"/>
      <c r="E52" s="1322"/>
      <c r="F52" s="1322"/>
      <c r="G52" s="1322"/>
      <c r="H52" s="1322"/>
      <c r="I52" s="1322"/>
      <c r="J52" s="1322"/>
      <c r="K52" s="1322"/>
      <c r="L52" s="1322"/>
      <c r="M52" s="1322"/>
      <c r="N52" s="1322"/>
      <c r="O52" s="1322"/>
      <c r="P52" s="1322"/>
      <c r="Q52" s="1323"/>
      <c r="R52" s="2128"/>
      <c r="S52" s="2129"/>
      <c r="T52" s="2129"/>
      <c r="U52" s="2129"/>
      <c r="V52" s="2129"/>
      <c r="W52" s="2129"/>
      <c r="X52" s="2129"/>
      <c r="Y52" s="2129"/>
      <c r="Z52" s="2129"/>
      <c r="AA52" s="2129"/>
      <c r="AB52" s="2129"/>
      <c r="AC52" s="579"/>
      <c r="AD52" s="2128"/>
      <c r="AE52" s="2129"/>
      <c r="AF52" s="2129"/>
      <c r="AG52" s="2129"/>
      <c r="AH52" s="2129"/>
      <c r="AI52" s="2129"/>
      <c r="AJ52" s="2129"/>
      <c r="AK52" s="2129"/>
      <c r="AL52" s="2129"/>
      <c r="AM52" s="2129"/>
      <c r="AN52" s="580"/>
    </row>
    <row r="53" spans="2:40" ht="7.5" customHeight="1">
      <c r="B53" s="1293"/>
      <c r="C53" s="2625"/>
      <c r="D53" s="2626"/>
      <c r="E53" s="2626"/>
      <c r="F53" s="2626"/>
      <c r="G53" s="2626"/>
      <c r="H53" s="2626"/>
      <c r="I53" s="2626"/>
      <c r="J53" s="2626"/>
      <c r="K53" s="2626"/>
      <c r="L53" s="2626"/>
      <c r="M53" s="2626"/>
      <c r="N53" s="2626"/>
      <c r="O53" s="2626"/>
      <c r="P53" s="2626"/>
      <c r="Q53" s="2627"/>
      <c r="R53" s="2130"/>
      <c r="S53" s="2131"/>
      <c r="T53" s="2131"/>
      <c r="U53" s="2131"/>
      <c r="V53" s="2131"/>
      <c r="W53" s="2131"/>
      <c r="X53" s="2131"/>
      <c r="Y53" s="2131"/>
      <c r="Z53" s="2131"/>
      <c r="AA53" s="2131"/>
      <c r="AB53" s="2131"/>
      <c r="AC53" s="1390"/>
      <c r="AD53" s="2130"/>
      <c r="AE53" s="2131"/>
      <c r="AF53" s="2131"/>
      <c r="AG53" s="2131"/>
      <c r="AH53" s="2131"/>
      <c r="AI53" s="2131"/>
      <c r="AJ53" s="2131"/>
      <c r="AK53" s="2131"/>
      <c r="AL53" s="2131"/>
      <c r="AM53" s="2131"/>
      <c r="AN53" s="1368"/>
    </row>
    <row r="54" spans="2:40" ht="3" customHeight="1">
      <c r="B54" s="142"/>
      <c r="C54" s="1427"/>
      <c r="D54" s="1428"/>
      <c r="E54" s="1428"/>
      <c r="F54" s="1428"/>
      <c r="G54" s="1428"/>
      <c r="H54" s="1428"/>
      <c r="I54" s="1428"/>
      <c r="J54" s="1428"/>
      <c r="K54" s="1428"/>
      <c r="L54" s="1428"/>
      <c r="M54" s="1428"/>
      <c r="N54" s="1428"/>
      <c r="O54" s="1436"/>
      <c r="P54" s="1436"/>
      <c r="Q54" s="1429"/>
      <c r="R54" s="1307"/>
      <c r="S54" s="624"/>
      <c r="T54" s="624"/>
      <c r="U54" s="624"/>
      <c r="V54" s="624"/>
      <c r="W54" s="624"/>
      <c r="X54" s="624"/>
      <c r="Y54" s="624"/>
      <c r="Z54" s="624"/>
      <c r="AA54" s="624"/>
      <c r="AB54" s="624"/>
      <c r="AC54" s="624"/>
      <c r="AD54" s="1869"/>
      <c r="AE54" s="1870"/>
      <c r="AF54" s="1870"/>
      <c r="AG54" s="1870"/>
      <c r="AH54" s="1870"/>
      <c r="AI54" s="1870"/>
      <c r="AJ54" s="1870"/>
      <c r="AK54" s="1870"/>
      <c r="AL54" s="1870"/>
      <c r="AM54" s="1870"/>
      <c r="AN54" s="1356"/>
    </row>
    <row r="55" spans="2:40" ht="15" customHeight="1">
      <c r="B55" s="141" t="s">
        <v>399</v>
      </c>
      <c r="C55" s="2624" t="s">
        <v>144</v>
      </c>
      <c r="D55" s="1322"/>
      <c r="E55" s="1322"/>
      <c r="F55" s="1322"/>
      <c r="G55" s="1322"/>
      <c r="H55" s="1322"/>
      <c r="I55" s="1322"/>
      <c r="J55" s="1322"/>
      <c r="K55" s="1322"/>
      <c r="L55" s="1322"/>
      <c r="M55" s="1322"/>
      <c r="N55" s="1322"/>
      <c r="O55" s="1322"/>
      <c r="P55" s="1322"/>
      <c r="Q55" s="1323"/>
      <c r="R55" s="376"/>
      <c r="S55" s="246"/>
      <c r="T55" s="246"/>
      <c r="U55" s="246"/>
      <c r="V55" s="246"/>
      <c r="W55" s="246"/>
      <c r="X55" s="246"/>
      <c r="Y55" s="246"/>
      <c r="Z55" s="246"/>
      <c r="AA55" s="246"/>
      <c r="AB55" s="246"/>
      <c r="AC55" s="258"/>
      <c r="AD55" s="376"/>
      <c r="AE55" s="246"/>
      <c r="AF55" s="246"/>
      <c r="AG55" s="246"/>
      <c r="AH55" s="246"/>
      <c r="AI55" s="246"/>
      <c r="AJ55" s="246"/>
      <c r="AK55" s="246"/>
      <c r="AL55" s="246"/>
      <c r="AM55" s="246"/>
      <c r="AN55" s="243"/>
    </row>
    <row r="56" spans="2:40" ht="9" customHeight="1">
      <c r="B56" s="1293"/>
      <c r="C56" s="2625"/>
      <c r="D56" s="2626"/>
      <c r="E56" s="2626"/>
      <c r="F56" s="2626"/>
      <c r="G56" s="2626"/>
      <c r="H56" s="2626"/>
      <c r="I56" s="2626"/>
      <c r="J56" s="2626"/>
      <c r="K56" s="2626"/>
      <c r="L56" s="2626"/>
      <c r="M56" s="2626"/>
      <c r="N56" s="2626"/>
      <c r="O56" s="2626"/>
      <c r="P56" s="2626"/>
      <c r="Q56" s="2627"/>
      <c r="R56" s="377"/>
      <c r="S56" s="1871"/>
      <c r="T56" s="1871"/>
      <c r="U56" s="1871"/>
      <c r="V56" s="1871"/>
      <c r="W56" s="1871"/>
      <c r="X56" s="1871"/>
      <c r="Y56" s="1871"/>
      <c r="Z56" s="1871"/>
      <c r="AA56" s="1871"/>
      <c r="AB56" s="1871"/>
      <c r="AC56" s="261"/>
      <c r="AD56" s="377"/>
      <c r="AE56" s="1871"/>
      <c r="AF56" s="1871"/>
      <c r="AG56" s="1871"/>
      <c r="AH56" s="1871"/>
      <c r="AI56" s="1871"/>
      <c r="AJ56" s="1871"/>
      <c r="AK56" s="1871"/>
      <c r="AL56" s="1871"/>
      <c r="AM56" s="1871"/>
      <c r="AN56" s="263"/>
    </row>
    <row r="57" spans="2:40" ht="3" customHeight="1">
      <c r="B57" s="307"/>
      <c r="C57" s="221"/>
      <c r="D57" s="112"/>
      <c r="E57" s="112"/>
      <c r="F57" s="112"/>
      <c r="G57" s="112"/>
      <c r="H57" s="112"/>
      <c r="I57" s="112"/>
      <c r="J57" s="219"/>
      <c r="K57" s="219"/>
      <c r="L57" s="219"/>
      <c r="M57" s="219"/>
      <c r="N57" s="219"/>
      <c r="O57" s="219"/>
      <c r="P57" s="219"/>
      <c r="Q57" s="220"/>
      <c r="R57" s="67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141"/>
      <c r="AE57" s="66"/>
      <c r="AF57" s="66"/>
      <c r="AG57" s="66"/>
      <c r="AH57" s="66"/>
      <c r="AI57" s="66"/>
      <c r="AJ57" s="66"/>
      <c r="AK57" s="66"/>
      <c r="AL57" s="66"/>
      <c r="AM57" s="66"/>
      <c r="AN57" s="144"/>
    </row>
    <row r="58" spans="2:40" ht="15" customHeight="1">
      <c r="B58" s="1294" t="s">
        <v>400</v>
      </c>
      <c r="C58" s="2540" t="s">
        <v>436</v>
      </c>
      <c r="D58" s="298"/>
      <c r="E58" s="298"/>
      <c r="F58" s="298"/>
      <c r="G58" s="298"/>
      <c r="H58" s="298"/>
      <c r="I58" s="298"/>
      <c r="J58" s="298"/>
      <c r="K58" s="298"/>
      <c r="L58" s="298"/>
      <c r="M58" s="298"/>
      <c r="N58" s="298"/>
      <c r="O58" s="298"/>
      <c r="P58" s="298"/>
      <c r="Q58" s="1398"/>
      <c r="R58" s="376"/>
      <c r="S58" s="246"/>
      <c r="T58" s="246"/>
      <c r="U58" s="246"/>
      <c r="V58" s="246"/>
      <c r="W58" s="246"/>
      <c r="X58" s="246"/>
      <c r="Y58" s="246"/>
      <c r="Z58" s="246"/>
      <c r="AA58" s="246"/>
      <c r="AB58" s="246"/>
      <c r="AC58" s="258"/>
      <c r="AD58" s="376"/>
      <c r="AE58" s="246"/>
      <c r="AF58" s="246"/>
      <c r="AG58" s="246"/>
      <c r="AH58" s="246"/>
      <c r="AI58" s="246"/>
      <c r="AJ58" s="246"/>
      <c r="AK58" s="246"/>
      <c r="AL58" s="246"/>
      <c r="AM58" s="246"/>
      <c r="AN58" s="243"/>
    </row>
    <row r="59" spans="2:40" ht="9" customHeight="1">
      <c r="B59" s="1900"/>
      <c r="C59" s="2541"/>
      <c r="D59" s="2542"/>
      <c r="E59" s="2542"/>
      <c r="F59" s="2542"/>
      <c r="G59" s="2542"/>
      <c r="H59" s="2542"/>
      <c r="I59" s="2542"/>
      <c r="J59" s="2542"/>
      <c r="K59" s="2542"/>
      <c r="L59" s="2542"/>
      <c r="M59" s="2542"/>
      <c r="N59" s="2542"/>
      <c r="O59" s="2542"/>
      <c r="P59" s="2542"/>
      <c r="Q59" s="2543"/>
      <c r="R59" s="377"/>
      <c r="S59" s="1871"/>
      <c r="T59" s="1871"/>
      <c r="U59" s="1871"/>
      <c r="V59" s="1871"/>
      <c r="W59" s="1871"/>
      <c r="X59" s="1871"/>
      <c r="Y59" s="1871"/>
      <c r="Z59" s="1871"/>
      <c r="AA59" s="1871"/>
      <c r="AB59" s="1871"/>
      <c r="AC59" s="261"/>
      <c r="AD59" s="377"/>
      <c r="AE59" s="1871"/>
      <c r="AF59" s="1871"/>
      <c r="AG59" s="1871"/>
      <c r="AH59" s="1871"/>
      <c r="AI59" s="1871"/>
      <c r="AJ59" s="1871"/>
      <c r="AK59" s="1871"/>
      <c r="AL59" s="1871"/>
      <c r="AM59" s="1871"/>
      <c r="AN59" s="263"/>
    </row>
    <row r="60" spans="2:40" ht="3" customHeight="1">
      <c r="B60" s="307"/>
      <c r="C60" s="218"/>
      <c r="D60" s="219"/>
      <c r="E60" s="219"/>
      <c r="F60" s="219"/>
      <c r="G60" s="219"/>
      <c r="H60" s="219"/>
      <c r="I60" s="219"/>
      <c r="J60" s="219"/>
      <c r="K60" s="219"/>
      <c r="L60" s="219"/>
      <c r="M60" s="219"/>
      <c r="N60" s="219"/>
      <c r="O60" s="219"/>
      <c r="P60" s="219"/>
      <c r="Q60" s="220"/>
      <c r="R60" s="267"/>
      <c r="S60" s="268"/>
      <c r="T60" s="268"/>
      <c r="U60" s="268"/>
      <c r="V60" s="268"/>
      <c r="W60" s="268"/>
      <c r="X60" s="268"/>
      <c r="Y60" s="268"/>
      <c r="Z60" s="268"/>
      <c r="AA60" s="268"/>
      <c r="AB60" s="268"/>
      <c r="AC60" s="268"/>
      <c r="AD60" s="269"/>
      <c r="AE60" s="66"/>
      <c r="AF60" s="66"/>
      <c r="AG60" s="66"/>
      <c r="AH60" s="66"/>
      <c r="AI60" s="66"/>
      <c r="AJ60" s="66"/>
      <c r="AK60" s="66"/>
      <c r="AL60" s="66"/>
      <c r="AM60" s="66"/>
      <c r="AN60" s="144"/>
    </row>
    <row r="61" spans="2:40" ht="15" customHeight="1">
      <c r="B61" s="141" t="s">
        <v>401</v>
      </c>
      <c r="C61" s="175" t="s">
        <v>179</v>
      </c>
      <c r="D61" s="219"/>
      <c r="E61" s="219"/>
      <c r="F61" s="219"/>
      <c r="G61" s="219"/>
      <c r="H61" s="219"/>
      <c r="I61" s="219"/>
      <c r="J61" s="219"/>
      <c r="K61" s="219"/>
      <c r="L61" s="219"/>
      <c r="M61" s="219"/>
      <c r="N61" s="219"/>
      <c r="O61" s="219"/>
      <c r="P61" s="219"/>
      <c r="Q61" s="220"/>
      <c r="R61" s="376"/>
      <c r="S61" s="246"/>
      <c r="T61" s="246"/>
      <c r="U61" s="246"/>
      <c r="V61" s="246"/>
      <c r="W61" s="246"/>
      <c r="X61" s="246"/>
      <c r="Y61" s="246"/>
      <c r="Z61" s="246"/>
      <c r="AA61" s="246"/>
      <c r="AB61" s="246"/>
      <c r="AC61" s="258"/>
      <c r="AD61" s="376"/>
      <c r="AE61" s="246"/>
      <c r="AF61" s="246"/>
      <c r="AG61" s="246"/>
      <c r="AH61" s="246"/>
      <c r="AI61" s="246"/>
      <c r="AJ61" s="246"/>
      <c r="AK61" s="246"/>
      <c r="AL61" s="246"/>
      <c r="AM61" s="246"/>
      <c r="AN61" s="243"/>
    </row>
    <row r="62" spans="2:40" ht="15" customHeight="1">
      <c r="B62" s="141"/>
      <c r="C62" s="175" t="s">
        <v>131</v>
      </c>
      <c r="D62" s="219"/>
      <c r="E62" s="219"/>
      <c r="F62" s="219"/>
      <c r="G62" s="219"/>
      <c r="H62" s="2003"/>
      <c r="I62" s="2003"/>
      <c r="J62" s="2003"/>
      <c r="K62" s="2003"/>
      <c r="L62" s="2003"/>
      <c r="M62" s="2003"/>
      <c r="N62" s="2003"/>
      <c r="O62" s="2003"/>
      <c r="P62" s="2003"/>
      <c r="Q62" s="2004"/>
      <c r="R62" s="377"/>
      <c r="S62" s="1871"/>
      <c r="T62" s="1871"/>
      <c r="U62" s="1871"/>
      <c r="V62" s="1871"/>
      <c r="W62" s="1871"/>
      <c r="X62" s="1871"/>
      <c r="Y62" s="1871"/>
      <c r="Z62" s="1871"/>
      <c r="AA62" s="1871"/>
      <c r="AB62" s="1871"/>
      <c r="AC62" s="261"/>
      <c r="AD62" s="377"/>
      <c r="AE62" s="1871"/>
      <c r="AF62" s="1871"/>
      <c r="AG62" s="1871"/>
      <c r="AH62" s="1871"/>
      <c r="AI62" s="1871"/>
      <c r="AJ62" s="1871"/>
      <c r="AK62" s="1871"/>
      <c r="AL62" s="1871"/>
      <c r="AM62" s="1871"/>
      <c r="AN62" s="263"/>
    </row>
    <row r="63" spans="2:40" ht="3" customHeight="1">
      <c r="B63" s="178"/>
      <c r="C63" s="142" t="s">
        <v>109</v>
      </c>
      <c r="D63" s="1307"/>
      <c r="E63" s="1307"/>
      <c r="F63" s="1307"/>
      <c r="G63" s="1307"/>
      <c r="H63" s="1307"/>
      <c r="I63" s="1307"/>
      <c r="J63" s="1307"/>
      <c r="K63" s="1307"/>
      <c r="L63" s="1307"/>
      <c r="M63" s="1307"/>
      <c r="N63" s="1307"/>
      <c r="O63" s="1307"/>
      <c r="P63" s="1307"/>
      <c r="Q63" s="1895"/>
      <c r="R63" s="581"/>
      <c r="S63" s="582"/>
      <c r="T63" s="582"/>
      <c r="U63" s="582"/>
      <c r="V63" s="582"/>
      <c r="W63" s="582"/>
      <c r="X63" s="582"/>
      <c r="Y63" s="582"/>
      <c r="Z63" s="582"/>
      <c r="AA63" s="582"/>
      <c r="AB63" s="142" t="s">
        <v>108</v>
      </c>
      <c r="AC63" s="1895"/>
      <c r="AD63" s="1869">
        <f>SUM(AD22:AM62)</f>
        <v>0</v>
      </c>
      <c r="AE63" s="1870"/>
      <c r="AF63" s="1870"/>
      <c r="AG63" s="1870"/>
      <c r="AH63" s="1870"/>
      <c r="AI63" s="1870"/>
      <c r="AJ63" s="1870"/>
      <c r="AK63" s="1870"/>
      <c r="AL63" s="1870"/>
      <c r="AM63" s="1870"/>
      <c r="AN63" s="256"/>
    </row>
    <row r="64" spans="2:40" ht="14.25" customHeight="1">
      <c r="B64" s="174"/>
      <c r="C64" s="141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67"/>
      <c r="Q64" s="297"/>
      <c r="R64" s="583"/>
      <c r="S64" s="584"/>
      <c r="T64" s="585"/>
      <c r="U64" s="585"/>
      <c r="V64" s="585"/>
      <c r="W64" s="585"/>
      <c r="X64" s="585"/>
      <c r="Y64" s="585"/>
      <c r="Z64" s="585"/>
      <c r="AA64" s="585"/>
      <c r="AB64" s="141"/>
      <c r="AC64" s="297"/>
      <c r="AD64" s="376"/>
      <c r="AE64" s="246"/>
      <c r="AF64" s="246"/>
      <c r="AG64" s="246"/>
      <c r="AH64" s="246"/>
      <c r="AI64" s="246"/>
      <c r="AJ64" s="246"/>
      <c r="AK64" s="246"/>
      <c r="AL64" s="246"/>
      <c r="AM64" s="246"/>
      <c r="AN64" s="243"/>
    </row>
    <row r="65" spans="2:40" ht="3" customHeight="1">
      <c r="B65" s="171"/>
      <c r="C65" s="1293"/>
      <c r="D65" s="1901"/>
      <c r="E65" s="1901"/>
      <c r="F65" s="1901"/>
      <c r="G65" s="1901"/>
      <c r="H65" s="1901"/>
      <c r="I65" s="1901"/>
      <c r="J65" s="1901"/>
      <c r="K65" s="1901"/>
      <c r="L65" s="1901"/>
      <c r="M65" s="1901"/>
      <c r="N65" s="1901"/>
      <c r="O65" s="1901"/>
      <c r="P65" s="1901"/>
      <c r="Q65" s="1896"/>
      <c r="R65" s="586"/>
      <c r="S65" s="586"/>
      <c r="T65" s="587"/>
      <c r="U65" s="587"/>
      <c r="V65" s="587"/>
      <c r="W65" s="587"/>
      <c r="X65" s="587"/>
      <c r="Y65" s="587"/>
      <c r="Z65" s="587"/>
      <c r="AA65" s="587"/>
      <c r="AB65" s="1293"/>
      <c r="AC65" s="1896"/>
      <c r="AD65" s="377"/>
      <c r="AE65" s="1871"/>
      <c r="AF65" s="1871"/>
      <c r="AG65" s="1871"/>
      <c r="AH65" s="1871"/>
      <c r="AI65" s="1871"/>
      <c r="AJ65" s="1871"/>
      <c r="AK65" s="1871"/>
      <c r="AL65" s="1871"/>
      <c r="AM65" s="1871"/>
      <c r="AN65" s="263"/>
    </row>
    <row r="66" spans="2:40" ht="8.15" customHeight="1">
      <c r="B66" s="164"/>
      <c r="C66" s="164"/>
      <c r="D66" s="45"/>
      <c r="E66" s="45"/>
      <c r="F66" s="45"/>
      <c r="G66" s="45"/>
      <c r="H66" s="45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164"/>
      <c r="Z66" s="164"/>
      <c r="AA66" s="164"/>
      <c r="AB66" s="164"/>
      <c r="AC66" s="164"/>
      <c r="AD66" s="164"/>
      <c r="AE66" s="164"/>
      <c r="AF66" s="164"/>
      <c r="AG66" s="164"/>
      <c r="AH66" s="164"/>
      <c r="AI66" s="164"/>
      <c r="AJ66" s="164"/>
      <c r="AK66" s="164"/>
      <c r="AL66" s="164"/>
      <c r="AM66" s="164"/>
      <c r="AN66" s="164"/>
    </row>
    <row r="67" spans="2:40" ht="15" customHeight="1">
      <c r="B67" s="71" t="s">
        <v>46</v>
      </c>
      <c r="C67" s="71"/>
      <c r="D67" s="71"/>
      <c r="E67" s="15"/>
      <c r="F67" s="71" t="s">
        <v>26</v>
      </c>
      <c r="G67" s="71" t="s">
        <v>428</v>
      </c>
      <c r="H67" s="71"/>
      <c r="I67" s="71"/>
      <c r="J67" s="71"/>
      <c r="K67" s="71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</row>
    <row r="68" spans="2:40" ht="4.5" customHeight="1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</row>
    <row r="69" spans="2:40" ht="12.75" customHeight="1">
      <c r="B69" s="2591" t="s">
        <v>76</v>
      </c>
      <c r="C69" s="1311" t="s">
        <v>883</v>
      </c>
      <c r="D69" s="2070"/>
      <c r="E69" s="142" t="s">
        <v>884</v>
      </c>
      <c r="F69" s="1307"/>
      <c r="G69" s="1307"/>
      <c r="H69" s="1307"/>
      <c r="I69" s="1307"/>
      <c r="J69" s="1307"/>
      <c r="K69" s="1307"/>
      <c r="L69" s="1307"/>
      <c r="M69" s="1895"/>
      <c r="N69" s="149" t="s">
        <v>71</v>
      </c>
      <c r="O69" s="149"/>
      <c r="P69" s="149"/>
      <c r="Q69" s="149"/>
      <c r="R69" s="146" t="s">
        <v>69</v>
      </c>
      <c r="S69" s="148"/>
      <c r="T69" s="148"/>
      <c r="U69" s="148"/>
      <c r="V69" s="148"/>
      <c r="W69" s="148"/>
      <c r="X69" s="148"/>
      <c r="Y69" s="148"/>
      <c r="Z69" s="148"/>
      <c r="AA69" s="148"/>
      <c r="AB69" s="148"/>
      <c r="AC69" s="148"/>
      <c r="AD69" s="148"/>
      <c r="AE69" s="148"/>
      <c r="AF69" s="2550"/>
      <c r="AG69" s="1307" t="s">
        <v>73</v>
      </c>
      <c r="AH69" s="1307"/>
      <c r="AI69" s="1307"/>
      <c r="AJ69" s="1307"/>
      <c r="AK69" s="1307"/>
      <c r="AL69" s="1307"/>
      <c r="AM69" s="1307"/>
      <c r="AN69" s="1895"/>
    </row>
    <row r="70" spans="2:40" ht="12" customHeight="1">
      <c r="B70" s="2540"/>
      <c r="C70" s="328"/>
      <c r="D70" s="2072"/>
      <c r="E70" s="141"/>
      <c r="F70" s="67"/>
      <c r="G70" s="67"/>
      <c r="H70" s="67"/>
      <c r="I70" s="67"/>
      <c r="J70" s="67"/>
      <c r="K70" s="67"/>
      <c r="L70" s="67"/>
      <c r="M70" s="297"/>
      <c r="N70" s="79" t="s">
        <v>72</v>
      </c>
      <c r="O70" s="79"/>
      <c r="P70" s="79"/>
      <c r="Q70" s="79"/>
      <c r="R70" s="154" t="s">
        <v>70</v>
      </c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2546"/>
      <c r="AG70" s="67"/>
      <c r="AH70" s="67"/>
      <c r="AI70" s="67"/>
      <c r="AJ70" s="67"/>
      <c r="AK70" s="67"/>
      <c r="AL70" s="67"/>
      <c r="AM70" s="67"/>
      <c r="AN70" s="297"/>
    </row>
    <row r="71" spans="2:40" ht="3" customHeight="1">
      <c r="B71" s="2540"/>
      <c r="C71" s="2073"/>
      <c r="D71" s="2075"/>
      <c r="E71" s="1293"/>
      <c r="F71" s="1901"/>
      <c r="G71" s="1901"/>
      <c r="H71" s="1901"/>
      <c r="I71" s="1901"/>
      <c r="J71" s="1901"/>
      <c r="K71" s="1901"/>
      <c r="L71" s="1901"/>
      <c r="M71" s="1896"/>
      <c r="N71" s="79"/>
      <c r="O71" s="79"/>
      <c r="P71" s="79"/>
      <c r="Q71" s="79"/>
      <c r="R71" s="153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2546"/>
      <c r="AG71" s="66"/>
      <c r="AH71" s="66"/>
      <c r="AI71" s="66"/>
      <c r="AJ71" s="66"/>
      <c r="AK71" s="66"/>
      <c r="AL71" s="66"/>
      <c r="AM71" s="66"/>
      <c r="AN71" s="151"/>
    </row>
    <row r="72" spans="2:40" s="68" customFormat="1" ht="11.25" customHeight="1">
      <c r="B72" s="145" t="s">
        <v>65</v>
      </c>
      <c r="C72" s="145" t="s">
        <v>64</v>
      </c>
      <c r="D72" s="1862"/>
      <c r="E72" s="145" t="s">
        <v>66</v>
      </c>
      <c r="F72" s="1861"/>
      <c r="G72" s="1861"/>
      <c r="H72" s="1861"/>
      <c r="I72" s="1861"/>
      <c r="J72" s="1861"/>
      <c r="K72" s="1861"/>
      <c r="L72" s="1861"/>
      <c r="M72" s="1862"/>
      <c r="N72" s="1861" t="s">
        <v>67</v>
      </c>
      <c r="O72" s="1861"/>
      <c r="P72" s="1861"/>
      <c r="Q72" s="1861"/>
      <c r="R72" s="145" t="s">
        <v>68</v>
      </c>
      <c r="S72" s="1861"/>
      <c r="T72" s="1861"/>
      <c r="U72" s="1861"/>
      <c r="V72" s="1861"/>
      <c r="W72" s="1861"/>
      <c r="X72" s="1861"/>
      <c r="Y72" s="1861"/>
      <c r="Z72" s="1861"/>
      <c r="AA72" s="1861"/>
      <c r="AB72" s="1861"/>
      <c r="AC72" s="1861"/>
      <c r="AD72" s="1861"/>
      <c r="AE72" s="1861"/>
      <c r="AF72" s="1862"/>
      <c r="AG72" s="1861" t="s">
        <v>100</v>
      </c>
      <c r="AH72" s="1861"/>
      <c r="AI72" s="1861"/>
      <c r="AJ72" s="1861"/>
      <c r="AK72" s="1861"/>
      <c r="AL72" s="1861"/>
      <c r="AM72" s="1861"/>
      <c r="AN72" s="1862"/>
    </row>
    <row r="73" spans="2:42" ht="18" customHeight="1">
      <c r="B73" s="1304" t="s">
        <v>386</v>
      </c>
      <c r="C73" s="2137"/>
      <c r="D73" s="2138"/>
      <c r="E73" s="2686" t="s">
        <v>1391</v>
      </c>
      <c r="F73" s="2687"/>
      <c r="G73" s="2687"/>
      <c r="H73" s="2687"/>
      <c r="I73" s="2687"/>
      <c r="J73" s="2687"/>
      <c r="K73" s="2687"/>
      <c r="L73" s="2687"/>
      <c r="M73" s="2688"/>
      <c r="N73" s="2137"/>
      <c r="O73" s="2668"/>
      <c r="P73" s="2668"/>
      <c r="Q73" s="2138"/>
      <c r="R73" s="2113">
        <f ca="1">'1770 S-II'!R88</f>
        <v>0</v>
      </c>
      <c r="S73" s="2114"/>
      <c r="T73" s="2114"/>
      <c r="U73" s="2114"/>
      <c r="V73" s="2114"/>
      <c r="W73" s="2114"/>
      <c r="X73" s="2114"/>
      <c r="Y73" s="2114"/>
      <c r="Z73" s="2114"/>
      <c r="AA73" s="2114"/>
      <c r="AB73" s="2114"/>
      <c r="AC73" s="2114"/>
      <c r="AD73" s="2114"/>
      <c r="AE73" s="2114"/>
      <c r="AF73" s="791"/>
      <c r="AG73" s="2684" t="str">
        <f>IF(dateofdeparture&gt;0,"Saya telah meninggalkan","")</f>
        <v/>
      </c>
      <c r="AH73" s="2140"/>
      <c r="AI73" s="2140"/>
      <c r="AJ73" s="2140"/>
      <c r="AK73" s="2140"/>
      <c r="AL73" s="2140"/>
      <c r="AM73" s="2140"/>
      <c r="AN73" s="2141"/>
      <c r="AP73" s="1285" t="s">
        <v>1399</v>
      </c>
    </row>
    <row r="74" spans="2:40" ht="18" customHeight="1">
      <c r="B74" s="1294"/>
      <c r="C74" s="763"/>
      <c r="D74" s="2139"/>
      <c r="E74" s="2689"/>
      <c r="F74" s="778"/>
      <c r="G74" s="778"/>
      <c r="H74" s="778"/>
      <c r="I74" s="778"/>
      <c r="J74" s="778"/>
      <c r="K74" s="778"/>
      <c r="L74" s="778"/>
      <c r="M74" s="779"/>
      <c r="N74" s="763"/>
      <c r="O74" s="764"/>
      <c r="P74" s="764"/>
      <c r="Q74" s="2139"/>
      <c r="R74" s="793"/>
      <c r="S74" s="794"/>
      <c r="T74" s="794"/>
      <c r="U74" s="794"/>
      <c r="V74" s="794"/>
      <c r="W74" s="794"/>
      <c r="X74" s="794"/>
      <c r="Y74" s="794"/>
      <c r="Z74" s="794"/>
      <c r="AA74" s="794"/>
      <c r="AB74" s="794"/>
      <c r="AC74" s="794"/>
      <c r="AD74" s="794"/>
      <c r="AE74" s="794"/>
      <c r="AF74" s="792"/>
      <c r="AG74" s="2685"/>
      <c r="AH74" s="2142"/>
      <c r="AI74" s="2142"/>
      <c r="AJ74" s="2142"/>
      <c r="AK74" s="2142"/>
      <c r="AL74" s="2142"/>
      <c r="AM74" s="2142"/>
      <c r="AN74" s="2143"/>
    </row>
    <row r="75" spans="2:40" ht="3" customHeight="1">
      <c r="B75" s="141"/>
      <c r="C75" s="763"/>
      <c r="D75" s="760"/>
      <c r="E75" s="2689"/>
      <c r="F75" s="778"/>
      <c r="G75" s="778"/>
      <c r="H75" s="778"/>
      <c r="I75" s="778"/>
      <c r="J75" s="778"/>
      <c r="K75" s="778"/>
      <c r="L75" s="778"/>
      <c r="M75" s="779"/>
      <c r="N75" s="764"/>
      <c r="O75" s="764"/>
      <c r="P75" s="764"/>
      <c r="Q75" s="764"/>
      <c r="R75" s="793"/>
      <c r="S75" s="794"/>
      <c r="T75" s="794"/>
      <c r="U75" s="794"/>
      <c r="V75" s="794"/>
      <c r="W75" s="794"/>
      <c r="X75" s="794"/>
      <c r="Y75" s="794"/>
      <c r="Z75" s="794"/>
      <c r="AA75" s="794"/>
      <c r="AB75" s="794"/>
      <c r="AC75" s="794"/>
      <c r="AD75" s="794"/>
      <c r="AE75" s="794"/>
      <c r="AF75" s="792"/>
      <c r="AG75" s="783"/>
      <c r="AH75" s="784"/>
      <c r="AI75" s="784"/>
      <c r="AJ75" s="784"/>
      <c r="AK75" s="784"/>
      <c r="AL75" s="784"/>
      <c r="AM75" s="784"/>
      <c r="AN75" s="785"/>
    </row>
    <row r="76" spans="2:40" ht="18" customHeight="1">
      <c r="B76" s="1304" t="s">
        <v>387</v>
      </c>
      <c r="C76" s="2137" t="str">
        <f ca="1">'LAMPIRAN'!B93</f>
        <v/>
      </c>
      <c r="D76" s="2138"/>
      <c r="E76" s="2686" t="str">
        <f ca="1">'LAMPIRAN'!D93</f>
        <v/>
      </c>
      <c r="F76" s="2687"/>
      <c r="G76" s="2687"/>
      <c r="H76" s="2687"/>
      <c r="I76" s="2687"/>
      <c r="J76" s="2687"/>
      <c r="K76" s="2687"/>
      <c r="L76" s="2687"/>
      <c r="M76" s="2688"/>
      <c r="N76" s="2137" t="str">
        <f ca="1">'LAMPIRAN'!O93</f>
        <v/>
      </c>
      <c r="O76" s="2668"/>
      <c r="P76" s="2668"/>
      <c r="Q76" s="2138"/>
      <c r="R76" s="2113" t="str">
        <f ca="1">'LAMPIRAN'!S93</f>
        <v/>
      </c>
      <c r="S76" s="2114"/>
      <c r="T76" s="2114"/>
      <c r="U76" s="2114"/>
      <c r="V76" s="2114"/>
      <c r="W76" s="2114"/>
      <c r="X76" s="2114"/>
      <c r="Y76" s="2114"/>
      <c r="Z76" s="2114"/>
      <c r="AA76" s="2114"/>
      <c r="AB76" s="2114"/>
      <c r="AC76" s="2114"/>
      <c r="AD76" s="2114"/>
      <c r="AE76" s="2114"/>
      <c r="AF76" s="791"/>
      <c r="AG76" s="2684" t="str">
        <f>IF(dateofdeparture&gt;0,"Indonesia. Fotokopi EPO","")</f>
        <v/>
      </c>
      <c r="AH76" s="2140"/>
      <c r="AI76" s="2140"/>
      <c r="AJ76" s="2140"/>
      <c r="AK76" s="2140"/>
      <c r="AL76" s="2140"/>
      <c r="AM76" s="2140"/>
      <c r="AN76" s="2141"/>
    </row>
    <row r="77" spans="2:40" ht="18" customHeight="1">
      <c r="B77" s="1294"/>
      <c r="C77" s="763"/>
      <c r="D77" s="2139"/>
      <c r="E77" s="2689"/>
      <c r="F77" s="778"/>
      <c r="G77" s="778"/>
      <c r="H77" s="778"/>
      <c r="I77" s="778"/>
      <c r="J77" s="778"/>
      <c r="K77" s="778"/>
      <c r="L77" s="778"/>
      <c r="M77" s="779"/>
      <c r="N77" s="763"/>
      <c r="O77" s="764"/>
      <c r="P77" s="764"/>
      <c r="Q77" s="2139"/>
      <c r="R77" s="793"/>
      <c r="S77" s="794"/>
      <c r="T77" s="794"/>
      <c r="U77" s="794"/>
      <c r="V77" s="794"/>
      <c r="W77" s="794"/>
      <c r="X77" s="794"/>
      <c r="Y77" s="794"/>
      <c r="Z77" s="794"/>
      <c r="AA77" s="794"/>
      <c r="AB77" s="794"/>
      <c r="AC77" s="794"/>
      <c r="AD77" s="794"/>
      <c r="AE77" s="794"/>
      <c r="AF77" s="792"/>
      <c r="AG77" s="2685"/>
      <c r="AH77" s="2142"/>
      <c r="AI77" s="2142"/>
      <c r="AJ77" s="2142"/>
      <c r="AK77" s="2142"/>
      <c r="AL77" s="2142"/>
      <c r="AM77" s="2142"/>
      <c r="AN77" s="2143"/>
    </row>
    <row r="78" spans="2:40" ht="3" customHeight="1">
      <c r="B78" s="141"/>
      <c r="C78" s="763"/>
      <c r="D78" s="760"/>
      <c r="E78" s="778"/>
      <c r="F78" s="778"/>
      <c r="G78" s="778"/>
      <c r="H78" s="778"/>
      <c r="I78" s="778"/>
      <c r="J78" s="778"/>
      <c r="K78" s="778"/>
      <c r="L78" s="778"/>
      <c r="M78" s="779"/>
      <c r="N78" s="764"/>
      <c r="O78" s="764"/>
      <c r="P78" s="764"/>
      <c r="Q78" s="764"/>
      <c r="R78" s="793"/>
      <c r="S78" s="794"/>
      <c r="T78" s="794"/>
      <c r="U78" s="794"/>
      <c r="V78" s="794"/>
      <c r="W78" s="794"/>
      <c r="X78" s="794"/>
      <c r="Y78" s="794"/>
      <c r="Z78" s="794"/>
      <c r="AA78" s="794"/>
      <c r="AB78" s="794"/>
      <c r="AC78" s="794"/>
      <c r="AD78" s="794"/>
      <c r="AE78" s="794"/>
      <c r="AF78" s="792"/>
      <c r="AG78" s="783"/>
      <c r="AH78" s="784"/>
      <c r="AI78" s="784"/>
      <c r="AJ78" s="784"/>
      <c r="AK78" s="784"/>
      <c r="AL78" s="784"/>
      <c r="AM78" s="784"/>
      <c r="AN78" s="785"/>
    </row>
    <row r="79" spans="2:40" ht="18" customHeight="1">
      <c r="B79" s="1304" t="s">
        <v>388</v>
      </c>
      <c r="C79" s="2137" t="str">
        <f ca="1">'LAMPIRAN'!B94</f>
        <v/>
      </c>
      <c r="D79" s="2138"/>
      <c r="E79" s="2686" t="str">
        <f ca="1">'LAMPIRAN'!D94</f>
        <v/>
      </c>
      <c r="F79" s="2687"/>
      <c r="G79" s="2687"/>
      <c r="H79" s="2687"/>
      <c r="I79" s="2687"/>
      <c r="J79" s="2687"/>
      <c r="K79" s="2687"/>
      <c r="L79" s="2687"/>
      <c r="M79" s="2688"/>
      <c r="N79" s="2137" t="str">
        <f ca="1">'LAMPIRAN'!O94</f>
        <v/>
      </c>
      <c r="O79" s="2668"/>
      <c r="P79" s="2668"/>
      <c r="Q79" s="2138"/>
      <c r="R79" s="2113" t="str">
        <f ca="1">'LAMPIRAN'!S94</f>
        <v/>
      </c>
      <c r="S79" s="2114"/>
      <c r="T79" s="2114"/>
      <c r="U79" s="2114"/>
      <c r="V79" s="2114"/>
      <c r="W79" s="2114"/>
      <c r="X79" s="2114"/>
      <c r="Y79" s="2114"/>
      <c r="Z79" s="2114"/>
      <c r="AA79" s="2114"/>
      <c r="AB79" s="2114"/>
      <c r="AC79" s="2114"/>
      <c r="AD79" s="2114"/>
      <c r="AE79" s="2114"/>
      <c r="AF79" s="791"/>
      <c r="AG79" s="2684" t="str">
        <f>IF(dateofdeparture&gt;0,"saya terlampir.","")</f>
        <v/>
      </c>
      <c r="AH79" s="2140"/>
      <c r="AI79" s="2140"/>
      <c r="AJ79" s="2140"/>
      <c r="AK79" s="2140"/>
      <c r="AL79" s="2140"/>
      <c r="AM79" s="2140"/>
      <c r="AN79" s="2141"/>
    </row>
    <row r="80" spans="2:40" ht="18" customHeight="1">
      <c r="B80" s="1294"/>
      <c r="C80" s="763"/>
      <c r="D80" s="2139"/>
      <c r="E80" s="2689"/>
      <c r="F80" s="778"/>
      <c r="G80" s="778"/>
      <c r="H80" s="778"/>
      <c r="I80" s="778"/>
      <c r="J80" s="778"/>
      <c r="K80" s="778"/>
      <c r="L80" s="778"/>
      <c r="M80" s="779"/>
      <c r="N80" s="763"/>
      <c r="O80" s="764"/>
      <c r="P80" s="764"/>
      <c r="Q80" s="2139"/>
      <c r="R80" s="793"/>
      <c r="S80" s="794"/>
      <c r="T80" s="794"/>
      <c r="U80" s="794"/>
      <c r="V80" s="794"/>
      <c r="W80" s="794"/>
      <c r="X80" s="794"/>
      <c r="Y80" s="794"/>
      <c r="Z80" s="794"/>
      <c r="AA80" s="794"/>
      <c r="AB80" s="794"/>
      <c r="AC80" s="794"/>
      <c r="AD80" s="794"/>
      <c r="AE80" s="794"/>
      <c r="AF80" s="792"/>
      <c r="AG80" s="2685"/>
      <c r="AH80" s="2142"/>
      <c r="AI80" s="2142"/>
      <c r="AJ80" s="2142"/>
      <c r="AK80" s="2142"/>
      <c r="AL80" s="2142"/>
      <c r="AM80" s="2142"/>
      <c r="AN80" s="2143"/>
    </row>
    <row r="81" spans="2:40" ht="3" customHeight="1">
      <c r="B81" s="141"/>
      <c r="C81" s="763"/>
      <c r="D81" s="760"/>
      <c r="E81" s="778"/>
      <c r="F81" s="778"/>
      <c r="G81" s="778"/>
      <c r="H81" s="778"/>
      <c r="I81" s="778"/>
      <c r="J81" s="778"/>
      <c r="K81" s="778"/>
      <c r="L81" s="778"/>
      <c r="M81" s="779"/>
      <c r="N81" s="764"/>
      <c r="O81" s="764"/>
      <c r="P81" s="764"/>
      <c r="Q81" s="764"/>
      <c r="R81" s="793"/>
      <c r="S81" s="794"/>
      <c r="T81" s="794"/>
      <c r="U81" s="794"/>
      <c r="V81" s="794"/>
      <c r="W81" s="794"/>
      <c r="X81" s="794"/>
      <c r="Y81" s="794"/>
      <c r="Z81" s="794"/>
      <c r="AA81" s="794"/>
      <c r="AB81" s="794"/>
      <c r="AC81" s="794"/>
      <c r="AD81" s="794"/>
      <c r="AE81" s="794"/>
      <c r="AF81" s="792"/>
      <c r="AG81" s="783"/>
      <c r="AH81" s="784"/>
      <c r="AI81" s="784"/>
      <c r="AJ81" s="784"/>
      <c r="AK81" s="784"/>
      <c r="AL81" s="784"/>
      <c r="AM81" s="784"/>
      <c r="AN81" s="785"/>
    </row>
    <row r="82" spans="2:40" ht="18" customHeight="1">
      <c r="B82" s="1304" t="s">
        <v>389</v>
      </c>
      <c r="C82" s="2137" t="str">
        <f ca="1">'LAMPIRAN'!B95</f>
        <v/>
      </c>
      <c r="D82" s="2138"/>
      <c r="E82" s="2686" t="str">
        <f ca="1">'LAMPIRAN'!D95</f>
        <v/>
      </c>
      <c r="F82" s="2687"/>
      <c r="G82" s="2687"/>
      <c r="H82" s="2687"/>
      <c r="I82" s="2687"/>
      <c r="J82" s="2687"/>
      <c r="K82" s="2687"/>
      <c r="L82" s="2687"/>
      <c r="M82" s="2688"/>
      <c r="N82" s="2137" t="str">
        <f ca="1">'LAMPIRAN'!O95</f>
        <v/>
      </c>
      <c r="O82" s="2668"/>
      <c r="P82" s="2668"/>
      <c r="Q82" s="2138"/>
      <c r="R82" s="2113" t="str">
        <f ca="1">'LAMPIRAN'!S95</f>
        <v/>
      </c>
      <c r="S82" s="2114"/>
      <c r="T82" s="2114"/>
      <c r="U82" s="2114"/>
      <c r="V82" s="2114"/>
      <c r="W82" s="2114"/>
      <c r="X82" s="2114"/>
      <c r="Y82" s="2114"/>
      <c r="Z82" s="2114"/>
      <c r="AA82" s="2114"/>
      <c r="AB82" s="2114"/>
      <c r="AC82" s="2114"/>
      <c r="AD82" s="2114"/>
      <c r="AE82" s="2114"/>
      <c r="AF82" s="791"/>
      <c r="AG82" s="2684"/>
      <c r="AH82" s="2140"/>
      <c r="AI82" s="2140"/>
      <c r="AJ82" s="2140"/>
      <c r="AK82" s="2140"/>
      <c r="AL82" s="2140"/>
      <c r="AM82" s="2140"/>
      <c r="AN82" s="2141"/>
    </row>
    <row r="83" spans="2:40" ht="18" customHeight="1">
      <c r="B83" s="1294"/>
      <c r="C83" s="763"/>
      <c r="D83" s="2139"/>
      <c r="E83" s="2689"/>
      <c r="F83" s="778"/>
      <c r="G83" s="778"/>
      <c r="H83" s="778"/>
      <c r="I83" s="778"/>
      <c r="J83" s="778"/>
      <c r="K83" s="778"/>
      <c r="L83" s="778"/>
      <c r="M83" s="779"/>
      <c r="N83" s="763"/>
      <c r="O83" s="764"/>
      <c r="P83" s="764"/>
      <c r="Q83" s="2139"/>
      <c r="R83" s="793"/>
      <c r="S83" s="794"/>
      <c r="T83" s="794"/>
      <c r="U83" s="794"/>
      <c r="V83" s="794"/>
      <c r="W83" s="794"/>
      <c r="X83" s="794"/>
      <c r="Y83" s="794"/>
      <c r="Z83" s="794"/>
      <c r="AA83" s="794"/>
      <c r="AB83" s="794"/>
      <c r="AC83" s="794"/>
      <c r="AD83" s="794"/>
      <c r="AE83" s="794"/>
      <c r="AF83" s="792"/>
      <c r="AG83" s="2685"/>
      <c r="AH83" s="2142"/>
      <c r="AI83" s="2142"/>
      <c r="AJ83" s="2142"/>
      <c r="AK83" s="2142"/>
      <c r="AL83" s="2142"/>
      <c r="AM83" s="2142"/>
      <c r="AN83" s="2143"/>
    </row>
    <row r="84" spans="2:40" ht="3" customHeight="1">
      <c r="B84" s="1294"/>
      <c r="C84" s="763"/>
      <c r="D84" s="760"/>
      <c r="E84" s="778"/>
      <c r="F84" s="778"/>
      <c r="G84" s="778"/>
      <c r="H84" s="778"/>
      <c r="I84" s="778"/>
      <c r="J84" s="778"/>
      <c r="K84" s="778"/>
      <c r="L84" s="778"/>
      <c r="M84" s="779"/>
      <c r="N84" s="764"/>
      <c r="O84" s="764"/>
      <c r="P84" s="764"/>
      <c r="Q84" s="764"/>
      <c r="R84" s="793"/>
      <c r="S84" s="794"/>
      <c r="T84" s="794"/>
      <c r="U84" s="794"/>
      <c r="V84" s="794"/>
      <c r="W84" s="794"/>
      <c r="X84" s="794"/>
      <c r="Y84" s="794"/>
      <c r="Z84" s="794"/>
      <c r="AA84" s="794"/>
      <c r="AB84" s="794"/>
      <c r="AC84" s="794"/>
      <c r="AD84" s="794"/>
      <c r="AE84" s="794"/>
      <c r="AF84" s="792"/>
      <c r="AG84" s="783"/>
      <c r="AH84" s="784"/>
      <c r="AI84" s="784"/>
      <c r="AJ84" s="784"/>
      <c r="AK84" s="784"/>
      <c r="AL84" s="784"/>
      <c r="AM84" s="784"/>
      <c r="AN84" s="785"/>
    </row>
    <row r="85" spans="2:40" ht="18" customHeight="1">
      <c r="B85" s="1304" t="s">
        <v>390</v>
      </c>
      <c r="C85" s="2137" t="str">
        <f ca="1">'LAMPIRAN'!B96</f>
        <v/>
      </c>
      <c r="D85" s="2138"/>
      <c r="E85" s="2686" t="str">
        <f ca="1">'LAMPIRAN'!D96</f>
        <v/>
      </c>
      <c r="F85" s="2687"/>
      <c r="G85" s="2687"/>
      <c r="H85" s="2687"/>
      <c r="I85" s="2687"/>
      <c r="J85" s="2687"/>
      <c r="K85" s="2687"/>
      <c r="L85" s="2687"/>
      <c r="M85" s="2688"/>
      <c r="N85" s="2137" t="str">
        <f ca="1">'LAMPIRAN'!O96</f>
        <v/>
      </c>
      <c r="O85" s="2668"/>
      <c r="P85" s="2668"/>
      <c r="Q85" s="2138"/>
      <c r="R85" s="2113" t="str">
        <f ca="1">'LAMPIRAN'!S96</f>
        <v/>
      </c>
      <c r="S85" s="2114"/>
      <c r="T85" s="2114"/>
      <c r="U85" s="2114"/>
      <c r="V85" s="2114"/>
      <c r="W85" s="2114"/>
      <c r="X85" s="2114"/>
      <c r="Y85" s="2114"/>
      <c r="Z85" s="2114"/>
      <c r="AA85" s="2114"/>
      <c r="AB85" s="2114"/>
      <c r="AC85" s="2114"/>
      <c r="AD85" s="2114"/>
      <c r="AE85" s="2114"/>
      <c r="AF85" s="791"/>
      <c r="AG85" s="2684"/>
      <c r="AH85" s="2140"/>
      <c r="AI85" s="2140"/>
      <c r="AJ85" s="2140"/>
      <c r="AK85" s="2140"/>
      <c r="AL85" s="2140"/>
      <c r="AM85" s="2140"/>
      <c r="AN85" s="2141"/>
    </row>
    <row r="86" spans="2:40" ht="18" customHeight="1">
      <c r="B86" s="1294" t="s">
        <v>129</v>
      </c>
      <c r="C86" s="763"/>
      <c r="D86" s="2139"/>
      <c r="E86" s="2689"/>
      <c r="F86" s="778"/>
      <c r="G86" s="778"/>
      <c r="H86" s="778"/>
      <c r="I86" s="778"/>
      <c r="J86" s="778"/>
      <c r="K86" s="778"/>
      <c r="L86" s="778"/>
      <c r="M86" s="779"/>
      <c r="N86" s="763"/>
      <c r="O86" s="764"/>
      <c r="P86" s="764"/>
      <c r="Q86" s="2139"/>
      <c r="R86" s="793"/>
      <c r="S86" s="794"/>
      <c r="T86" s="794"/>
      <c r="U86" s="794"/>
      <c r="V86" s="794"/>
      <c r="W86" s="794"/>
      <c r="X86" s="794"/>
      <c r="Y86" s="794"/>
      <c r="Z86" s="794"/>
      <c r="AA86" s="794"/>
      <c r="AB86" s="794"/>
      <c r="AC86" s="794"/>
      <c r="AD86" s="794"/>
      <c r="AE86" s="794"/>
      <c r="AF86" s="792"/>
      <c r="AG86" s="2685"/>
      <c r="AH86" s="2142"/>
      <c r="AI86" s="2142"/>
      <c r="AJ86" s="2142"/>
      <c r="AK86" s="2142"/>
      <c r="AL86" s="2142"/>
      <c r="AM86" s="2142"/>
      <c r="AN86" s="2143"/>
    </row>
    <row r="87" spans="2:40" ht="3" customHeight="1">
      <c r="B87" s="309"/>
      <c r="C87" s="377"/>
      <c r="D87" s="261"/>
      <c r="E87" s="257"/>
      <c r="F87" s="257"/>
      <c r="G87" s="257"/>
      <c r="H87" s="257"/>
      <c r="I87" s="257"/>
      <c r="J87" s="257"/>
      <c r="K87" s="257"/>
      <c r="L87" s="257"/>
      <c r="M87" s="258"/>
      <c r="N87" s="246"/>
      <c r="O87" s="257"/>
      <c r="P87" s="257"/>
      <c r="Q87" s="257"/>
      <c r="R87" s="281"/>
      <c r="S87" s="282"/>
      <c r="T87" s="282"/>
      <c r="U87" s="282"/>
      <c r="V87" s="282"/>
      <c r="W87" s="282"/>
      <c r="X87" s="282"/>
      <c r="Y87" s="282"/>
      <c r="Z87" s="282"/>
      <c r="AA87" s="282"/>
      <c r="AB87" s="282"/>
      <c r="AC87" s="282"/>
      <c r="AD87" s="282"/>
      <c r="AE87" s="282"/>
      <c r="AF87" s="280"/>
      <c r="AG87" s="237"/>
      <c r="AH87" s="242"/>
      <c r="AI87" s="242"/>
      <c r="AJ87" s="242"/>
      <c r="AK87" s="242"/>
      <c r="AL87" s="242"/>
      <c r="AM87" s="242"/>
      <c r="AN87" s="243"/>
    </row>
    <row r="88" spans="2:40" ht="15" customHeight="1">
      <c r="B88" s="146"/>
      <c r="C88" s="142" t="s">
        <v>110</v>
      </c>
      <c r="D88" s="1307"/>
      <c r="E88" s="1307"/>
      <c r="F88" s="1307"/>
      <c r="G88" s="1307"/>
      <c r="H88" s="1307"/>
      <c r="I88" s="1307"/>
      <c r="J88" s="1307"/>
      <c r="K88" s="1307"/>
      <c r="L88" s="1307"/>
      <c r="M88" s="1895"/>
      <c r="N88" s="170"/>
      <c r="O88" s="170"/>
      <c r="P88" s="142" t="s">
        <v>111</v>
      </c>
      <c r="Q88" s="1895"/>
      <c r="R88" s="2036">
        <f ca="1">SUM(R73:AE86)</f>
        <v>0</v>
      </c>
      <c r="S88" s="2037"/>
      <c r="T88" s="2037"/>
      <c r="U88" s="2037"/>
      <c r="V88" s="2037"/>
      <c r="W88" s="2037"/>
      <c r="X88" s="2037"/>
      <c r="Y88" s="2037"/>
      <c r="Z88" s="2037"/>
      <c r="AA88" s="2037"/>
      <c r="AB88" s="2037"/>
      <c r="AC88" s="2037"/>
      <c r="AD88" s="2037"/>
      <c r="AE88" s="2037"/>
      <c r="AF88" s="270"/>
      <c r="AG88" s="183"/>
      <c r="AH88" s="183"/>
      <c r="AI88" s="183"/>
      <c r="AJ88" s="183"/>
      <c r="AK88" s="184"/>
      <c r="AL88" s="184"/>
      <c r="AM88" s="184"/>
      <c r="AN88" s="185"/>
    </row>
    <row r="89" spans="2:40" ht="4.5" customHeight="1">
      <c r="B89" s="154"/>
      <c r="C89" s="141"/>
      <c r="D89" s="67"/>
      <c r="E89" s="67"/>
      <c r="F89" s="67"/>
      <c r="G89" s="67"/>
      <c r="H89" s="67"/>
      <c r="I89" s="67"/>
      <c r="J89" s="67"/>
      <c r="K89" s="67"/>
      <c r="L89" s="67"/>
      <c r="M89" s="297"/>
      <c r="N89" s="99"/>
      <c r="O89" s="99"/>
      <c r="P89" s="141"/>
      <c r="Q89" s="297"/>
      <c r="R89" s="2038"/>
      <c r="S89" s="2039"/>
      <c r="T89" s="2039"/>
      <c r="U89" s="2039"/>
      <c r="V89" s="2039"/>
      <c r="W89" s="2039"/>
      <c r="X89" s="2039"/>
      <c r="Y89" s="2039"/>
      <c r="Z89" s="2039"/>
      <c r="AA89" s="2039"/>
      <c r="AB89" s="2039"/>
      <c r="AC89" s="2039"/>
      <c r="AD89" s="2039"/>
      <c r="AE89" s="2039"/>
      <c r="AF89" s="271"/>
      <c r="AG89" s="97"/>
      <c r="AH89" s="97"/>
      <c r="AI89" s="97"/>
      <c r="AJ89" s="97"/>
      <c r="AK89" s="98"/>
      <c r="AL89" s="98"/>
      <c r="AM89" s="98"/>
      <c r="AN89" s="179"/>
    </row>
    <row r="90" spans="2:40" ht="3" customHeight="1" hidden="1">
      <c r="B90" s="177"/>
      <c r="C90" s="1293"/>
      <c r="D90" s="1901"/>
      <c r="E90" s="1901"/>
      <c r="F90" s="1901"/>
      <c r="G90" s="1901"/>
      <c r="H90" s="1901"/>
      <c r="I90" s="1901"/>
      <c r="J90" s="1901"/>
      <c r="K90" s="1901"/>
      <c r="L90" s="1901"/>
      <c r="M90" s="1896"/>
      <c r="N90" s="156"/>
      <c r="O90" s="156"/>
      <c r="P90" s="1293"/>
      <c r="Q90" s="1896"/>
      <c r="R90" s="272"/>
      <c r="S90" s="273"/>
      <c r="T90" s="273"/>
      <c r="U90" s="273"/>
      <c r="V90" s="273"/>
      <c r="W90" s="273"/>
      <c r="X90" s="273"/>
      <c r="Y90" s="273"/>
      <c r="Z90" s="273"/>
      <c r="AA90" s="273"/>
      <c r="AB90" s="273"/>
      <c r="AC90" s="273"/>
      <c r="AD90" s="273"/>
      <c r="AE90" s="273"/>
      <c r="AF90" s="274"/>
      <c r="AG90" s="180"/>
      <c r="AH90" s="180"/>
      <c r="AI90" s="180"/>
      <c r="AJ90" s="180"/>
      <c r="AK90" s="181"/>
      <c r="AL90" s="181"/>
      <c r="AM90" s="181"/>
      <c r="AN90" s="182"/>
    </row>
    <row r="91" spans="2:40" ht="5.25" customHeight="1"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  <c r="AA91" s="133"/>
      <c r="AB91" s="133"/>
      <c r="AC91" s="133"/>
      <c r="AD91" s="45"/>
      <c r="AE91" s="45"/>
      <c r="AF91" s="45"/>
      <c r="AG91" s="45"/>
      <c r="AH91" s="45"/>
      <c r="AI91" s="45"/>
      <c r="AJ91" s="164"/>
      <c r="AK91" s="164"/>
      <c r="AL91" s="164"/>
      <c r="AM91" s="164"/>
      <c r="AN91" s="164"/>
    </row>
    <row r="92" spans="2:40" ht="3" customHeight="1"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4"/>
      <c r="AE92" s="4"/>
      <c r="AF92" s="4"/>
      <c r="AG92" s="4"/>
      <c r="AH92" s="4"/>
      <c r="AI92" s="4"/>
      <c r="AJ92"/>
      <c r="AK92"/>
      <c r="AL92"/>
      <c r="AM92"/>
      <c r="AN92"/>
    </row>
    <row r="93" spans="2:40" ht="15" customHeight="1">
      <c r="B93" s="71"/>
      <c r="C93" s="72" t="s">
        <v>59</v>
      </c>
      <c r="D93" s="72"/>
      <c r="E93" s="15"/>
      <c r="F93" s="72" t="s">
        <v>26</v>
      </c>
      <c r="G93" s="78" t="s">
        <v>429</v>
      </c>
      <c r="H93" s="15"/>
      <c r="I93" s="72"/>
      <c r="J93" s="72"/>
      <c r="K93" s="72"/>
      <c r="L93" s="79"/>
      <c r="M93" s="4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7"/>
      <c r="AC93" s="11"/>
      <c r="AD93" s="4"/>
      <c r="AE93" s="4"/>
      <c r="AF93" s="4"/>
      <c r="AG93" s="4"/>
      <c r="AH93" s="4"/>
      <c r="AI93" s="4"/>
      <c r="AJ93"/>
      <c r="AK93"/>
      <c r="AL93"/>
      <c r="AM93"/>
      <c r="AN93"/>
    </row>
    <row r="94" spans="2:40" ht="3" customHeight="1"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4"/>
      <c r="AE94" s="4"/>
      <c r="AF94" s="4"/>
      <c r="AG94" s="4"/>
      <c r="AH94" s="4"/>
      <c r="AI94" s="4"/>
      <c r="AJ94"/>
      <c r="AK94"/>
      <c r="AL94"/>
      <c r="AM94"/>
      <c r="AN94"/>
    </row>
    <row r="95" spans="2:40" ht="3" customHeight="1"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4"/>
      <c r="AE95" s="4"/>
      <c r="AF95" s="4"/>
      <c r="AG95" s="4"/>
      <c r="AH95" s="4"/>
      <c r="AI95" s="4"/>
      <c r="AJ95"/>
      <c r="AK95"/>
      <c r="AL95"/>
      <c r="AM95"/>
      <c r="AN95"/>
    </row>
    <row r="96" spans="2:40" ht="15" customHeight="1">
      <c r="B96" s="2591" t="s">
        <v>76</v>
      </c>
      <c r="C96" s="1311" t="s">
        <v>886</v>
      </c>
      <c r="D96" s="2070"/>
      <c r="E96" s="1307" t="s">
        <v>885</v>
      </c>
      <c r="F96" s="1307"/>
      <c r="G96" s="1307"/>
      <c r="H96" s="1307"/>
      <c r="I96" s="1307"/>
      <c r="J96" s="1307"/>
      <c r="K96" s="1307"/>
      <c r="L96" s="1307"/>
      <c r="M96" s="1307"/>
      <c r="N96" s="1307"/>
      <c r="O96" s="1895"/>
      <c r="P96" s="149" t="s">
        <v>103</v>
      </c>
      <c r="Q96" s="149"/>
      <c r="R96" s="149"/>
      <c r="S96" s="149"/>
      <c r="T96" s="149"/>
      <c r="U96" s="149"/>
      <c r="V96" s="149"/>
      <c r="W96" s="149"/>
      <c r="X96" s="149"/>
      <c r="Y96" s="149"/>
      <c r="Z96" s="149"/>
      <c r="AA96" s="149"/>
      <c r="AB96" s="146" t="s">
        <v>71</v>
      </c>
      <c r="AC96" s="149"/>
      <c r="AD96" s="149"/>
      <c r="AE96" s="149"/>
      <c r="AF96" s="2550"/>
      <c r="AG96" s="1307" t="s">
        <v>74</v>
      </c>
      <c r="AH96" s="1307"/>
      <c r="AI96" s="1307"/>
      <c r="AJ96" s="1307"/>
      <c r="AK96" s="1307"/>
      <c r="AL96" s="1307"/>
      <c r="AM96" s="1307"/>
      <c r="AN96" s="1895"/>
    </row>
    <row r="97" spans="2:55" ht="15.75" customHeight="1">
      <c r="B97" s="2540"/>
      <c r="C97" s="328"/>
      <c r="D97" s="2072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297"/>
      <c r="P97" s="79" t="s">
        <v>75</v>
      </c>
      <c r="Q97" s="79"/>
      <c r="R97" s="79"/>
      <c r="S97" s="79"/>
      <c r="T97" s="79"/>
      <c r="U97" s="79"/>
      <c r="V97" s="79"/>
      <c r="W97" s="79"/>
      <c r="X97" s="79"/>
      <c r="Y97" s="79"/>
      <c r="Z97" s="79"/>
      <c r="AA97" s="79"/>
      <c r="AB97" s="154" t="s">
        <v>124</v>
      </c>
      <c r="AC97" s="79"/>
      <c r="AD97" s="79"/>
      <c r="AE97" s="79"/>
      <c r="AF97" s="2546"/>
      <c r="AG97" s="67"/>
      <c r="AH97" s="67"/>
      <c r="AI97" s="67"/>
      <c r="AJ97" s="67"/>
      <c r="AK97" s="67"/>
      <c r="AL97" s="67"/>
      <c r="AM97" s="67"/>
      <c r="AN97" s="297"/>
      <c r="BC97" s="2788" t="s">
        <v>197</v>
      </c>
    </row>
    <row r="98" spans="2:40" ht="3" customHeight="1">
      <c r="B98" s="2540"/>
      <c r="C98" s="2073"/>
      <c r="D98" s="2075"/>
      <c r="E98" s="1901"/>
      <c r="F98" s="1901"/>
      <c r="G98" s="1901"/>
      <c r="H98" s="1901"/>
      <c r="I98" s="1901"/>
      <c r="J98" s="1901"/>
      <c r="K98" s="1901"/>
      <c r="L98" s="1901"/>
      <c r="M98" s="1901"/>
      <c r="N98" s="1901"/>
      <c r="O98" s="1896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3"/>
      <c r="AC98" s="15"/>
      <c r="AD98" s="15"/>
      <c r="AE98" s="15"/>
      <c r="AF98" s="144"/>
      <c r="AG98" s="66"/>
      <c r="AH98" s="15"/>
      <c r="AI98" s="66"/>
      <c r="AJ98" s="66"/>
      <c r="AK98" s="66"/>
      <c r="AL98" s="66"/>
      <c r="AM98" s="66"/>
      <c r="AN98" s="151"/>
    </row>
    <row r="99" spans="2:40" s="16" customFormat="1" ht="12" customHeight="1">
      <c r="B99" s="145" t="s">
        <v>65</v>
      </c>
      <c r="C99" s="145" t="s">
        <v>64</v>
      </c>
      <c r="D99" s="1862"/>
      <c r="E99" s="145" t="s">
        <v>66</v>
      </c>
      <c r="F99" s="1861"/>
      <c r="G99" s="1861"/>
      <c r="H99" s="1861"/>
      <c r="I99" s="1861"/>
      <c r="J99" s="1861"/>
      <c r="K99" s="1861"/>
      <c r="L99" s="1861"/>
      <c r="M99" s="1861"/>
      <c r="N99" s="1861"/>
      <c r="O99" s="1862"/>
      <c r="P99" s="1861" t="s">
        <v>67</v>
      </c>
      <c r="Q99" s="1861"/>
      <c r="R99" s="1861"/>
      <c r="S99" s="1861"/>
      <c r="T99" s="1861"/>
      <c r="U99" s="1861"/>
      <c r="V99" s="1861"/>
      <c r="W99" s="1861"/>
      <c r="X99" s="1861"/>
      <c r="Y99" s="1861"/>
      <c r="Z99" s="1861"/>
      <c r="AA99" s="1861"/>
      <c r="AB99" s="145" t="s">
        <v>68</v>
      </c>
      <c r="AC99" s="1861"/>
      <c r="AD99" s="1861"/>
      <c r="AE99" s="1861"/>
      <c r="AF99" s="1862"/>
      <c r="AG99" s="1861" t="s">
        <v>100</v>
      </c>
      <c r="AH99" s="1861"/>
      <c r="AI99" s="1861"/>
      <c r="AJ99" s="1861"/>
      <c r="AK99" s="1861"/>
      <c r="AL99" s="1861"/>
      <c r="AM99" s="1861"/>
      <c r="AN99" s="1862"/>
    </row>
    <row r="100" spans="2:40" ht="18" customHeight="1">
      <c r="B100" s="1304" t="s">
        <v>386</v>
      </c>
      <c r="C100" s="1300"/>
      <c r="D100" s="1302"/>
      <c r="E100" s="2604" t="s">
        <v>1403</v>
      </c>
      <c r="F100" s="2146"/>
      <c r="G100" s="2146"/>
      <c r="H100" s="2146"/>
      <c r="I100" s="2146"/>
      <c r="J100" s="2146"/>
      <c r="K100" s="2146"/>
      <c r="L100" s="2146"/>
      <c r="M100" s="2146"/>
      <c r="N100" s="2146"/>
      <c r="O100" s="2147"/>
      <c r="P100" s="1300"/>
      <c r="Q100" s="1301"/>
      <c r="R100" s="1301"/>
      <c r="S100" s="1301"/>
      <c r="T100" s="1301"/>
      <c r="U100" s="1301"/>
      <c r="V100" s="1301"/>
      <c r="W100" s="1301"/>
      <c r="X100" s="1301"/>
      <c r="Y100" s="1301"/>
      <c r="Z100" s="1301"/>
      <c r="AA100" s="1302"/>
      <c r="AB100" s="2137"/>
      <c r="AC100" s="2668"/>
      <c r="AD100" s="2668"/>
      <c r="AE100" s="2668"/>
      <c r="AF100" s="2138"/>
      <c r="AG100" s="2608">
        <f ca="1">'1770 S-II'!AG115</f>
        <v>0</v>
      </c>
      <c r="AH100" s="2609"/>
      <c r="AI100" s="2609"/>
      <c r="AJ100" s="2609"/>
      <c r="AK100" s="2609"/>
      <c r="AL100" s="2609"/>
      <c r="AM100" s="2609"/>
      <c r="AN100" s="2682"/>
    </row>
    <row r="101" spans="2:40" ht="18" customHeight="1">
      <c r="B101" s="1294"/>
      <c r="C101" s="746"/>
      <c r="D101" s="747"/>
      <c r="E101" s="373"/>
      <c r="F101" s="374"/>
      <c r="G101" s="374"/>
      <c r="H101" s="374"/>
      <c r="I101" s="374"/>
      <c r="J101" s="374"/>
      <c r="K101" s="374"/>
      <c r="L101" s="374"/>
      <c r="M101" s="374"/>
      <c r="N101" s="374"/>
      <c r="O101" s="375"/>
      <c r="P101" s="746"/>
      <c r="Q101" s="252"/>
      <c r="R101" s="252"/>
      <c r="S101" s="252"/>
      <c r="T101" s="252"/>
      <c r="U101" s="252"/>
      <c r="V101" s="252"/>
      <c r="W101" s="252"/>
      <c r="X101" s="252"/>
      <c r="Y101" s="252"/>
      <c r="Z101" s="252"/>
      <c r="AA101" s="747"/>
      <c r="AB101" s="763"/>
      <c r="AC101" s="764"/>
      <c r="AD101" s="764"/>
      <c r="AE101" s="764"/>
      <c r="AF101" s="2139"/>
      <c r="AG101" s="2610"/>
      <c r="AH101" s="2611"/>
      <c r="AI101" s="2611"/>
      <c r="AJ101" s="2611"/>
      <c r="AK101" s="2611"/>
      <c r="AL101" s="2611"/>
      <c r="AM101" s="2611"/>
      <c r="AN101" s="2683"/>
    </row>
    <row r="102" spans="2:40" ht="3" customHeight="1">
      <c r="B102" s="141"/>
      <c r="C102" s="591"/>
      <c r="D102" s="1321"/>
      <c r="E102" s="373"/>
      <c r="F102" s="374"/>
      <c r="G102" s="374"/>
      <c r="H102" s="374"/>
      <c r="I102" s="374"/>
      <c r="J102" s="374"/>
      <c r="K102" s="374"/>
      <c r="L102" s="374"/>
      <c r="M102" s="374"/>
      <c r="N102" s="374"/>
      <c r="O102" s="375"/>
      <c r="P102" s="38"/>
      <c r="Q102" s="38"/>
      <c r="R102" s="38"/>
      <c r="S102" s="38"/>
      <c r="T102" s="38"/>
      <c r="U102" s="38"/>
      <c r="V102" s="38"/>
      <c r="W102" s="38"/>
      <c r="X102" s="38"/>
      <c r="Y102" s="38"/>
      <c r="Z102" s="38"/>
      <c r="AA102" s="38"/>
      <c r="AB102" s="758"/>
      <c r="AC102" s="764"/>
      <c r="AD102" s="759"/>
      <c r="AE102" s="759"/>
      <c r="AF102" s="760"/>
      <c r="AG102" s="275"/>
      <c r="AH102" s="275"/>
      <c r="AI102" s="275"/>
      <c r="AJ102" s="275"/>
      <c r="AK102" s="275"/>
      <c r="AL102" s="275"/>
      <c r="AM102" s="275"/>
      <c r="AN102" s="283"/>
    </row>
    <row r="103" spans="2:40" ht="15" customHeight="1">
      <c r="B103" s="1304">
        <v>2</v>
      </c>
      <c r="C103" s="1869"/>
      <c r="D103" s="2117"/>
      <c r="E103" s="2562"/>
      <c r="F103" s="2563"/>
      <c r="G103" s="2563"/>
      <c r="H103" s="2563"/>
      <c r="I103" s="2563"/>
      <c r="J103" s="2563"/>
      <c r="K103" s="2563"/>
      <c r="L103" s="2563"/>
      <c r="M103" s="2563"/>
      <c r="N103" s="2563"/>
      <c r="O103" s="2564"/>
      <c r="P103" s="1869"/>
      <c r="Q103" s="1870"/>
      <c r="R103" s="1870"/>
      <c r="S103" s="1870"/>
      <c r="T103" s="1870"/>
      <c r="U103" s="1870"/>
      <c r="V103" s="1870"/>
      <c r="W103" s="1870"/>
      <c r="X103" s="1870"/>
      <c r="Y103" s="1870"/>
      <c r="Z103" s="1870"/>
      <c r="AA103" s="2117"/>
      <c r="AB103" s="2137"/>
      <c r="AC103" s="2668"/>
      <c r="AD103" s="2668"/>
      <c r="AE103" s="2668"/>
      <c r="AF103" s="2138"/>
      <c r="AG103" s="2605"/>
      <c r="AH103" s="2606"/>
      <c r="AI103" s="2606"/>
      <c r="AJ103" s="2606"/>
      <c r="AK103" s="2606"/>
      <c r="AL103" s="2606"/>
      <c r="AM103" s="2606"/>
      <c r="AN103" s="1385"/>
    </row>
    <row r="104" spans="2:40" ht="12.75" customHeight="1">
      <c r="B104" s="1294"/>
      <c r="C104" s="376"/>
      <c r="D104" s="1943"/>
      <c r="E104" s="2603"/>
      <c r="F104" s="774"/>
      <c r="G104" s="774"/>
      <c r="H104" s="774"/>
      <c r="I104" s="774"/>
      <c r="J104" s="774"/>
      <c r="K104" s="774"/>
      <c r="L104" s="774"/>
      <c r="M104" s="774"/>
      <c r="N104" s="774"/>
      <c r="O104" s="775"/>
      <c r="P104" s="376"/>
      <c r="Q104" s="246"/>
      <c r="R104" s="246"/>
      <c r="S104" s="246"/>
      <c r="T104" s="246"/>
      <c r="U104" s="246"/>
      <c r="V104" s="246"/>
      <c r="W104" s="246"/>
      <c r="X104" s="246"/>
      <c r="Y104" s="246"/>
      <c r="Z104" s="246"/>
      <c r="AA104" s="1943"/>
      <c r="AB104" s="763"/>
      <c r="AC104" s="764"/>
      <c r="AD104" s="764"/>
      <c r="AE104" s="764"/>
      <c r="AF104" s="2139"/>
      <c r="AG104" s="2607"/>
      <c r="AH104" s="1319"/>
      <c r="AI104" s="1319"/>
      <c r="AJ104" s="1319"/>
      <c r="AK104" s="1319"/>
      <c r="AL104" s="1319"/>
      <c r="AM104" s="1319"/>
      <c r="AN104" s="1320"/>
    </row>
    <row r="105" spans="2:40" ht="3" customHeight="1">
      <c r="B105" s="141"/>
      <c r="C105" s="589"/>
      <c r="D105" s="258"/>
      <c r="E105" s="774"/>
      <c r="F105" s="774"/>
      <c r="G105" s="774"/>
      <c r="H105" s="774"/>
      <c r="I105" s="774"/>
      <c r="J105" s="774"/>
      <c r="K105" s="774"/>
      <c r="L105" s="774"/>
      <c r="M105" s="774"/>
      <c r="N105" s="774"/>
      <c r="O105" s="775"/>
      <c r="P105" s="376"/>
      <c r="Q105" s="246"/>
      <c r="R105" s="246"/>
      <c r="S105" s="246"/>
      <c r="T105" s="246"/>
      <c r="U105" s="246"/>
      <c r="V105" s="246"/>
      <c r="W105" s="246"/>
      <c r="X105" s="246"/>
      <c r="Y105" s="246"/>
      <c r="Z105" s="246"/>
      <c r="AA105" s="1943"/>
      <c r="AB105" s="758"/>
      <c r="AC105" s="764"/>
      <c r="AD105" s="759"/>
      <c r="AE105" s="759"/>
      <c r="AF105" s="760"/>
      <c r="AG105" s="1319"/>
      <c r="AH105" s="1319"/>
      <c r="AI105" s="1319"/>
      <c r="AJ105" s="1319"/>
      <c r="AK105" s="1319"/>
      <c r="AL105" s="1319"/>
      <c r="AM105" s="1319"/>
      <c r="AN105" s="1320"/>
    </row>
    <row r="106" spans="2:40" ht="15" customHeight="1">
      <c r="B106" s="1304" t="s">
        <v>388</v>
      </c>
      <c r="C106" s="142"/>
      <c r="D106" s="1895"/>
      <c r="E106" s="2640"/>
      <c r="F106" s="2641"/>
      <c r="G106" s="2641"/>
      <c r="H106" s="2641"/>
      <c r="I106" s="2641"/>
      <c r="J106" s="2641"/>
      <c r="K106" s="2641"/>
      <c r="L106" s="2641"/>
      <c r="M106" s="2641"/>
      <c r="N106" s="2641"/>
      <c r="O106" s="2642"/>
      <c r="P106" s="1869"/>
      <c r="Q106" s="1870"/>
      <c r="R106" s="1870"/>
      <c r="S106" s="1870"/>
      <c r="T106" s="1870"/>
      <c r="U106" s="1870"/>
      <c r="V106" s="1870"/>
      <c r="W106" s="1870"/>
      <c r="X106" s="1870"/>
      <c r="Y106" s="1870"/>
      <c r="Z106" s="1870"/>
      <c r="AA106" s="2117"/>
      <c r="AB106" s="2137"/>
      <c r="AC106" s="2668"/>
      <c r="AD106" s="2668"/>
      <c r="AE106" s="2668"/>
      <c r="AF106" s="2138"/>
      <c r="AG106" s="2669"/>
      <c r="AH106" s="1914"/>
      <c r="AI106" s="1914"/>
      <c r="AJ106" s="1914"/>
      <c r="AK106" s="1914"/>
      <c r="AL106" s="1914"/>
      <c r="AM106" s="1914"/>
      <c r="AN106" s="2670"/>
    </row>
    <row r="107" spans="2:40" ht="12" customHeight="1">
      <c r="B107" s="1294"/>
      <c r="C107" s="141"/>
      <c r="D107" s="297"/>
      <c r="E107" s="2624"/>
      <c r="F107" s="1322"/>
      <c r="G107" s="1322"/>
      <c r="H107" s="1322"/>
      <c r="I107" s="1322"/>
      <c r="J107" s="1322"/>
      <c r="K107" s="1322"/>
      <c r="L107" s="1322"/>
      <c r="M107" s="1322"/>
      <c r="N107" s="1322"/>
      <c r="O107" s="1323"/>
      <c r="P107" s="376"/>
      <c r="Q107" s="246"/>
      <c r="R107" s="246"/>
      <c r="S107" s="246"/>
      <c r="T107" s="246"/>
      <c r="U107" s="246"/>
      <c r="V107" s="246"/>
      <c r="W107" s="246"/>
      <c r="X107" s="246"/>
      <c r="Y107" s="246"/>
      <c r="Z107" s="246"/>
      <c r="AA107" s="1943"/>
      <c r="AB107" s="763"/>
      <c r="AC107" s="764"/>
      <c r="AD107" s="764"/>
      <c r="AE107" s="764"/>
      <c r="AF107" s="2139"/>
      <c r="AG107" s="2671"/>
      <c r="AH107" s="761"/>
      <c r="AI107" s="761"/>
      <c r="AJ107" s="761"/>
      <c r="AK107" s="761"/>
      <c r="AL107" s="761"/>
      <c r="AM107" s="761"/>
      <c r="AN107" s="762"/>
    </row>
    <row r="108" spans="2:40" ht="3" customHeight="1">
      <c r="B108" s="141"/>
      <c r="C108" s="143"/>
      <c r="D108" s="151"/>
      <c r="E108" s="1322"/>
      <c r="F108" s="1322"/>
      <c r="G108" s="1322"/>
      <c r="H108" s="1322"/>
      <c r="I108" s="1322"/>
      <c r="J108" s="1322"/>
      <c r="K108" s="1322"/>
      <c r="L108" s="1322"/>
      <c r="M108" s="1322"/>
      <c r="N108" s="1322"/>
      <c r="O108" s="1323"/>
      <c r="P108" s="376"/>
      <c r="Q108" s="246"/>
      <c r="R108" s="246"/>
      <c r="S108" s="246"/>
      <c r="T108" s="246"/>
      <c r="U108" s="246"/>
      <c r="V108" s="246"/>
      <c r="W108" s="246"/>
      <c r="X108" s="246"/>
      <c r="Y108" s="246"/>
      <c r="Z108" s="246"/>
      <c r="AA108" s="1943"/>
      <c r="AB108" s="352"/>
      <c r="AC108" s="353"/>
      <c r="AD108" s="353"/>
      <c r="AE108" s="353"/>
      <c r="AF108" s="354"/>
      <c r="AG108" s="761"/>
      <c r="AH108" s="761"/>
      <c r="AI108" s="761"/>
      <c r="AJ108" s="761"/>
      <c r="AK108" s="761"/>
      <c r="AL108" s="761"/>
      <c r="AM108" s="761"/>
      <c r="AN108" s="762"/>
    </row>
    <row r="109" spans="2:40" ht="15" customHeight="1">
      <c r="B109" s="1304" t="s">
        <v>389</v>
      </c>
      <c r="C109" s="2672"/>
      <c r="D109" s="2673"/>
      <c r="E109" s="2676"/>
      <c r="F109" s="2677"/>
      <c r="G109" s="2677"/>
      <c r="H109" s="2677"/>
      <c r="I109" s="2677"/>
      <c r="J109" s="2677"/>
      <c r="K109" s="2677"/>
      <c r="L109" s="2677"/>
      <c r="M109" s="2677"/>
      <c r="N109" s="2677"/>
      <c r="O109" s="2678"/>
      <c r="P109" s="1869"/>
      <c r="Q109" s="1870"/>
      <c r="R109" s="1870"/>
      <c r="S109" s="1870"/>
      <c r="T109" s="1870"/>
      <c r="U109" s="1870"/>
      <c r="V109" s="1870"/>
      <c r="W109" s="1870"/>
      <c r="X109" s="1870"/>
      <c r="Y109" s="1870"/>
      <c r="Z109" s="1870"/>
      <c r="AA109" s="2117"/>
      <c r="AB109" s="2137"/>
      <c r="AC109" s="2668"/>
      <c r="AD109" s="2668"/>
      <c r="AE109" s="2668"/>
      <c r="AF109" s="2138"/>
      <c r="AG109" s="2669"/>
      <c r="AH109" s="1914"/>
      <c r="AI109" s="1914"/>
      <c r="AJ109" s="1914"/>
      <c r="AK109" s="1914"/>
      <c r="AL109" s="1914"/>
      <c r="AM109" s="1914"/>
      <c r="AN109" s="2670"/>
    </row>
    <row r="110" spans="2:40" ht="12.75" customHeight="1">
      <c r="B110" s="1294"/>
      <c r="C110" s="2674"/>
      <c r="D110" s="2675"/>
      <c r="E110" s="2679"/>
      <c r="F110" s="2680"/>
      <c r="G110" s="2680"/>
      <c r="H110" s="2680"/>
      <c r="I110" s="2680"/>
      <c r="J110" s="2680"/>
      <c r="K110" s="2680"/>
      <c r="L110" s="2680"/>
      <c r="M110" s="2680"/>
      <c r="N110" s="2680"/>
      <c r="O110" s="2681"/>
      <c r="P110" s="376"/>
      <c r="Q110" s="246"/>
      <c r="R110" s="246"/>
      <c r="S110" s="246"/>
      <c r="T110" s="246"/>
      <c r="U110" s="246"/>
      <c r="V110" s="246"/>
      <c r="W110" s="246"/>
      <c r="X110" s="246"/>
      <c r="Y110" s="246"/>
      <c r="Z110" s="246"/>
      <c r="AA110" s="1943"/>
      <c r="AB110" s="763"/>
      <c r="AC110" s="764"/>
      <c r="AD110" s="764"/>
      <c r="AE110" s="764"/>
      <c r="AF110" s="2139"/>
      <c r="AG110" s="2671"/>
      <c r="AH110" s="761"/>
      <c r="AI110" s="761"/>
      <c r="AJ110" s="761"/>
      <c r="AK110" s="761"/>
      <c r="AL110" s="761"/>
      <c r="AM110" s="761"/>
      <c r="AN110" s="762"/>
    </row>
    <row r="111" spans="2:40" ht="3" customHeight="1">
      <c r="B111" s="141"/>
      <c r="C111" s="284"/>
      <c r="D111" s="286"/>
      <c r="E111" s="795"/>
      <c r="F111" s="795"/>
      <c r="G111" s="795"/>
      <c r="H111" s="795"/>
      <c r="I111" s="795"/>
      <c r="J111" s="795"/>
      <c r="K111" s="795"/>
      <c r="L111" s="795"/>
      <c r="M111" s="795"/>
      <c r="N111" s="795"/>
      <c r="O111" s="796"/>
      <c r="P111" s="376"/>
      <c r="Q111" s="246"/>
      <c r="R111" s="246"/>
      <c r="S111" s="246"/>
      <c r="T111" s="246"/>
      <c r="U111" s="246"/>
      <c r="V111" s="246"/>
      <c r="W111" s="246"/>
      <c r="X111" s="246"/>
      <c r="Y111" s="246"/>
      <c r="Z111" s="246"/>
      <c r="AA111" s="1943"/>
      <c r="AB111" s="352"/>
      <c r="AC111" s="353"/>
      <c r="AD111" s="353"/>
      <c r="AE111" s="353"/>
      <c r="AF111" s="354"/>
      <c r="AG111" s="761"/>
      <c r="AH111" s="761"/>
      <c r="AI111" s="761"/>
      <c r="AJ111" s="761"/>
      <c r="AK111" s="761"/>
      <c r="AL111" s="761"/>
      <c r="AM111" s="761"/>
      <c r="AN111" s="762"/>
    </row>
    <row r="112" spans="2:40" ht="15" customHeight="1">
      <c r="B112" s="1304" t="s">
        <v>390</v>
      </c>
      <c r="C112" s="1439"/>
      <c r="D112" s="1386"/>
      <c r="E112" s="1440"/>
      <c r="F112" s="1440"/>
      <c r="G112" s="1440"/>
      <c r="H112" s="1440"/>
      <c r="I112" s="1440"/>
      <c r="J112" s="1440"/>
      <c r="K112" s="1440"/>
      <c r="L112" s="1440"/>
      <c r="M112" s="1440"/>
      <c r="N112" s="1440"/>
      <c r="O112" s="1441"/>
      <c r="P112" s="1869"/>
      <c r="Q112" s="1870"/>
      <c r="R112" s="1870"/>
      <c r="S112" s="1870"/>
      <c r="T112" s="1870"/>
      <c r="U112" s="1870"/>
      <c r="V112" s="1870"/>
      <c r="W112" s="1870"/>
      <c r="X112" s="1870"/>
      <c r="Y112" s="1870"/>
      <c r="Z112" s="1870"/>
      <c r="AA112" s="2117"/>
      <c r="AB112" s="2137"/>
      <c r="AC112" s="2668"/>
      <c r="AD112" s="2668"/>
      <c r="AE112" s="2668"/>
      <c r="AF112" s="2138"/>
      <c r="AG112" s="2669"/>
      <c r="AH112" s="1914"/>
      <c r="AI112" s="1914"/>
      <c r="AJ112" s="1914"/>
      <c r="AK112" s="1914"/>
      <c r="AL112" s="1914"/>
      <c r="AM112" s="1914"/>
      <c r="AN112" s="2670"/>
    </row>
    <row r="113" spans="2:40" ht="13.5" customHeight="1">
      <c r="B113" s="1294" t="s">
        <v>129</v>
      </c>
      <c r="C113" s="284"/>
      <c r="D113" s="286"/>
      <c r="E113" s="795"/>
      <c r="F113" s="795"/>
      <c r="G113" s="795"/>
      <c r="H113" s="795"/>
      <c r="I113" s="795"/>
      <c r="J113" s="795"/>
      <c r="K113" s="795"/>
      <c r="L113" s="795"/>
      <c r="M113" s="795"/>
      <c r="N113" s="795"/>
      <c r="O113" s="796"/>
      <c r="P113" s="376"/>
      <c r="Q113" s="246"/>
      <c r="R113" s="246"/>
      <c r="S113" s="246"/>
      <c r="T113" s="246"/>
      <c r="U113" s="246"/>
      <c r="V113" s="246"/>
      <c r="W113" s="246"/>
      <c r="X113" s="246"/>
      <c r="Y113" s="246"/>
      <c r="Z113" s="246"/>
      <c r="AA113" s="1943"/>
      <c r="AB113" s="763"/>
      <c r="AC113" s="764"/>
      <c r="AD113" s="764"/>
      <c r="AE113" s="764"/>
      <c r="AF113" s="2139"/>
      <c r="AG113" s="2671"/>
      <c r="AH113" s="761"/>
      <c r="AI113" s="761"/>
      <c r="AJ113" s="761"/>
      <c r="AK113" s="761"/>
      <c r="AL113" s="761"/>
      <c r="AM113" s="761"/>
      <c r="AN113" s="762"/>
    </row>
    <row r="114" spans="2:40" ht="3" customHeight="1">
      <c r="B114" s="1293"/>
      <c r="C114" s="592"/>
      <c r="D114" s="594"/>
      <c r="E114" s="593"/>
      <c r="F114" s="593"/>
      <c r="G114" s="593"/>
      <c r="H114" s="593"/>
      <c r="I114" s="593"/>
      <c r="J114" s="593"/>
      <c r="K114" s="593"/>
      <c r="L114" s="593"/>
      <c r="M114" s="593"/>
      <c r="N114" s="593"/>
      <c r="O114" s="594"/>
      <c r="P114" s="377"/>
      <c r="Q114" s="1871"/>
      <c r="R114" s="1871"/>
      <c r="S114" s="1871"/>
      <c r="T114" s="1871"/>
      <c r="U114" s="1871"/>
      <c r="V114" s="1871"/>
      <c r="W114" s="1871"/>
      <c r="X114" s="1871"/>
      <c r="Y114" s="1871"/>
      <c r="Z114" s="1871"/>
      <c r="AA114" s="1944"/>
      <c r="AB114" s="592"/>
      <c r="AC114" s="593"/>
      <c r="AD114" s="593"/>
      <c r="AE114" s="593"/>
      <c r="AF114" s="594"/>
      <c r="AG114" s="310"/>
      <c r="AH114" s="310"/>
      <c r="AI114" s="310"/>
      <c r="AJ114" s="310"/>
      <c r="AK114" s="310"/>
      <c r="AL114" s="310"/>
      <c r="AM114" s="310"/>
      <c r="AN114" s="311"/>
    </row>
    <row r="115" spans="2:40" ht="15" customHeight="1">
      <c r="B115" s="146"/>
      <c r="C115" s="142" t="s">
        <v>120</v>
      </c>
      <c r="D115" s="1307"/>
      <c r="E115" s="1307"/>
      <c r="F115" s="1307"/>
      <c r="G115" s="1307"/>
      <c r="H115" s="1307"/>
      <c r="I115" s="1307"/>
      <c r="J115" s="1307"/>
      <c r="K115" s="1307"/>
      <c r="L115" s="1307"/>
      <c r="M115" s="1307"/>
      <c r="N115" s="1307"/>
      <c r="O115" s="1307"/>
      <c r="P115" s="1307"/>
      <c r="Q115" s="1307"/>
      <c r="R115" s="1307"/>
      <c r="S115" s="1307"/>
      <c r="T115" s="1307"/>
      <c r="U115" s="1307"/>
      <c r="V115" s="1307"/>
      <c r="W115" s="1307"/>
      <c r="X115" s="1307"/>
      <c r="Y115" s="1307"/>
      <c r="Z115" s="1307"/>
      <c r="AA115" s="1895"/>
      <c r="AB115" s="190"/>
      <c r="AC115" s="183"/>
      <c r="AD115" s="183"/>
      <c r="AE115" s="142" t="s">
        <v>119</v>
      </c>
      <c r="AF115" s="1895"/>
      <c r="AG115" s="2036">
        <f ca="1">SUM(AG100:AN113)</f>
        <v>0</v>
      </c>
      <c r="AH115" s="2037"/>
      <c r="AI115" s="2037"/>
      <c r="AJ115" s="2037"/>
      <c r="AK115" s="2037"/>
      <c r="AL115" s="2037"/>
      <c r="AM115" s="2037"/>
      <c r="AN115" s="253"/>
    </row>
    <row r="116" spans="2:40" ht="3.75" customHeight="1">
      <c r="B116" s="153"/>
      <c r="C116" s="141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67"/>
      <c r="Q116" s="67"/>
      <c r="R116" s="67"/>
      <c r="S116" s="67"/>
      <c r="T116" s="67"/>
      <c r="U116" s="67"/>
      <c r="V116" s="67"/>
      <c r="W116" s="67"/>
      <c r="X116" s="67"/>
      <c r="Y116" s="67"/>
      <c r="Z116" s="67"/>
      <c r="AA116" s="297"/>
      <c r="AB116" s="188"/>
      <c r="AC116" s="97"/>
      <c r="AD116" s="97"/>
      <c r="AE116" s="141"/>
      <c r="AF116" s="297"/>
      <c r="AG116" s="2038"/>
      <c r="AH116" s="2039"/>
      <c r="AI116" s="2039"/>
      <c r="AJ116" s="2039"/>
      <c r="AK116" s="2039"/>
      <c r="AL116" s="2039"/>
      <c r="AM116" s="2039"/>
      <c r="AN116" s="254"/>
    </row>
    <row r="117" spans="2:40" ht="3" customHeight="1">
      <c r="B117" s="177"/>
      <c r="C117" s="1293"/>
      <c r="D117" s="1901"/>
      <c r="E117" s="1901"/>
      <c r="F117" s="1901"/>
      <c r="G117" s="1901"/>
      <c r="H117" s="1901"/>
      <c r="I117" s="1901"/>
      <c r="J117" s="1901"/>
      <c r="K117" s="1901"/>
      <c r="L117" s="1901"/>
      <c r="M117" s="1901"/>
      <c r="N117" s="1901"/>
      <c r="O117" s="1901"/>
      <c r="P117" s="1901"/>
      <c r="Q117" s="1901"/>
      <c r="R117" s="1901"/>
      <c r="S117" s="1901"/>
      <c r="T117" s="1901"/>
      <c r="U117" s="1901"/>
      <c r="V117" s="1901"/>
      <c r="W117" s="1901"/>
      <c r="X117" s="1901"/>
      <c r="Y117" s="1901"/>
      <c r="Z117" s="1901"/>
      <c r="AA117" s="1896"/>
      <c r="AB117" s="189"/>
      <c r="AC117" s="186"/>
      <c r="AD117" s="186"/>
      <c r="AE117" s="1293"/>
      <c r="AF117" s="1896"/>
      <c r="AG117" s="152"/>
      <c r="AH117" s="187"/>
      <c r="AI117" s="172"/>
      <c r="AJ117" s="43"/>
      <c r="AK117" s="172"/>
      <c r="AL117" s="172"/>
      <c r="AM117" s="172"/>
      <c r="AN117" s="173"/>
    </row>
    <row r="118" spans="2:40" ht="6.75" customHeight="1">
      <c r="B118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67"/>
      <c r="Q118" s="67"/>
      <c r="R118" s="67"/>
      <c r="S118" s="67"/>
      <c r="T118" s="67"/>
      <c r="U118" s="67"/>
      <c r="V118" s="67"/>
      <c r="W118" s="67"/>
      <c r="X118" s="67"/>
      <c r="Y118" s="67"/>
      <c r="Z118" s="67"/>
      <c r="AA118" s="67"/>
      <c r="AB118" s="11"/>
      <c r="AC118" s="11"/>
      <c r="AD118" s="11"/>
      <c r="AE118" s="67"/>
      <c r="AF118" s="67"/>
      <c r="AG118" s="66"/>
      <c r="AH118"/>
      <c r="AI118"/>
      <c r="AJ118" s="4"/>
      <c r="AK118"/>
      <c r="AL118"/>
      <c r="AM118"/>
      <c r="AN118"/>
    </row>
    <row r="119" spans="2:40" ht="3" customHeight="1">
      <c r="B119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67"/>
      <c r="Q119" s="67"/>
      <c r="R119" s="67"/>
      <c r="S119" s="67"/>
      <c r="T119" s="67"/>
      <c r="U119" s="67"/>
      <c r="V119" s="67"/>
      <c r="W119" s="67"/>
      <c r="X119" s="67"/>
      <c r="Y119" s="67"/>
      <c r="Z119" s="67"/>
      <c r="AA119" s="67"/>
      <c r="AB119" s="11"/>
      <c r="AC119" s="11"/>
      <c r="AD119" s="11"/>
      <c r="AE119" s="67"/>
      <c r="AF119" s="67"/>
      <c r="AG119" s="66"/>
      <c r="AH119"/>
      <c r="AI119"/>
      <c r="AJ119" s="4"/>
      <c r="AK119"/>
      <c r="AL119"/>
      <c r="AM119"/>
      <c r="AN119"/>
    </row>
    <row r="120" spans="2:40" ht="13.5" customHeight="1">
      <c r="B120" s="71"/>
      <c r="C120" s="72" t="s">
        <v>447</v>
      </c>
      <c r="D120" s="72"/>
      <c r="E120" s="15"/>
      <c r="F120" s="72" t="s">
        <v>26</v>
      </c>
      <c r="G120" s="78" t="s">
        <v>430</v>
      </c>
      <c r="H120" s="15"/>
      <c r="I120" s="72"/>
      <c r="J120" s="72"/>
      <c r="K120" s="72"/>
      <c r="L120" s="79"/>
      <c r="M120" s="4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7"/>
      <c r="AC120" s="11"/>
      <c r="AD120" s="4"/>
      <c r="AE120" s="4"/>
      <c r="AF120" s="4"/>
      <c r="AG120" s="4"/>
      <c r="AH120" s="4"/>
      <c r="AI120" s="4"/>
      <c r="AJ120"/>
      <c r="AK120"/>
      <c r="AL120"/>
      <c r="AM120"/>
      <c r="AN120"/>
    </row>
    <row r="121" spans="2:40" ht="3" customHeight="1"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4"/>
      <c r="AE121" s="4"/>
      <c r="AF121" s="4"/>
      <c r="AG121" s="4"/>
      <c r="AH121" s="4"/>
      <c r="AI121" s="4"/>
      <c r="AJ121"/>
      <c r="AK121"/>
      <c r="AL121"/>
      <c r="AM121"/>
      <c r="AN121"/>
    </row>
    <row r="122" spans="2:40" ht="3" customHeight="1"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4"/>
      <c r="AE122" s="4"/>
      <c r="AF122" s="4"/>
      <c r="AG122" s="4"/>
      <c r="AH122" s="4"/>
      <c r="AI122" s="4"/>
      <c r="AJ122"/>
      <c r="AK122"/>
      <c r="AL122"/>
      <c r="AM122"/>
      <c r="AN122"/>
    </row>
    <row r="123" spans="2:40" ht="9.75" customHeight="1">
      <c r="B123" s="2591" t="s">
        <v>76</v>
      </c>
      <c r="C123" s="142" t="s">
        <v>104</v>
      </c>
      <c r="D123" s="1307"/>
      <c r="E123" s="1307"/>
      <c r="F123" s="1307"/>
      <c r="G123" s="1307"/>
      <c r="H123" s="1307"/>
      <c r="I123" s="1307"/>
      <c r="J123" s="1307"/>
      <c r="K123" s="1307"/>
      <c r="L123" s="1307"/>
      <c r="M123" s="1307"/>
      <c r="N123" s="1307"/>
      <c r="O123" s="1895"/>
      <c r="P123" s="142" t="s">
        <v>873</v>
      </c>
      <c r="Q123" s="2612"/>
      <c r="R123" s="2612"/>
      <c r="S123" s="2612"/>
      <c r="T123" s="2612"/>
      <c r="U123" s="2612"/>
      <c r="V123" s="2612"/>
      <c r="W123" s="2613"/>
      <c r="X123" s="142" t="s">
        <v>448</v>
      </c>
      <c r="Y123" s="1307"/>
      <c r="Z123" s="1307"/>
      <c r="AA123" s="1307"/>
      <c r="AB123" s="1307"/>
      <c r="AC123" s="1307"/>
      <c r="AD123" s="1307"/>
      <c r="AE123" s="1307"/>
      <c r="AF123" s="1895"/>
      <c r="AG123" s="142" t="s">
        <v>28</v>
      </c>
      <c r="AH123" s="1307"/>
      <c r="AI123" s="1307"/>
      <c r="AJ123" s="1307"/>
      <c r="AK123" s="1307"/>
      <c r="AL123" s="1307"/>
      <c r="AM123" s="1307"/>
      <c r="AN123" s="1895"/>
    </row>
    <row r="124" spans="2:40" ht="8.25" customHeight="1">
      <c r="B124" s="2540"/>
      <c r="C124" s="141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297"/>
      <c r="P124" s="307"/>
      <c r="Q124" s="113"/>
      <c r="R124" s="113"/>
      <c r="S124" s="113"/>
      <c r="T124" s="113"/>
      <c r="U124" s="113"/>
      <c r="V124" s="113"/>
      <c r="W124" s="2614"/>
      <c r="X124" s="141"/>
      <c r="Y124" s="67"/>
      <c r="Z124" s="67"/>
      <c r="AA124" s="67"/>
      <c r="AB124" s="67"/>
      <c r="AC124" s="67"/>
      <c r="AD124" s="67"/>
      <c r="AE124" s="67"/>
      <c r="AF124" s="297"/>
      <c r="AG124" s="141"/>
      <c r="AH124" s="67"/>
      <c r="AI124" s="67"/>
      <c r="AJ124" s="67"/>
      <c r="AK124" s="67"/>
      <c r="AL124" s="67"/>
      <c r="AM124" s="67"/>
      <c r="AN124" s="297"/>
    </row>
    <row r="125" spans="2:40" ht="3" customHeight="1">
      <c r="B125" s="2540"/>
      <c r="C125" s="1293"/>
      <c r="D125" s="1901"/>
      <c r="E125" s="1901"/>
      <c r="F125" s="1901"/>
      <c r="G125" s="1901"/>
      <c r="H125" s="1901"/>
      <c r="I125" s="1901"/>
      <c r="J125" s="1901"/>
      <c r="K125" s="1901"/>
      <c r="L125" s="1901"/>
      <c r="M125" s="1901"/>
      <c r="N125" s="1901"/>
      <c r="O125" s="1896"/>
      <c r="P125" s="2615"/>
      <c r="Q125" s="2616"/>
      <c r="R125" s="2616"/>
      <c r="S125" s="2616"/>
      <c r="T125" s="2616"/>
      <c r="U125" s="2616"/>
      <c r="V125" s="2616"/>
      <c r="W125" s="2617"/>
      <c r="X125" s="1293"/>
      <c r="Y125" s="1901"/>
      <c r="Z125" s="1901"/>
      <c r="AA125" s="1901"/>
      <c r="AB125" s="1901"/>
      <c r="AC125" s="1901"/>
      <c r="AD125" s="1901"/>
      <c r="AE125" s="1901"/>
      <c r="AF125" s="1896"/>
      <c r="AG125" s="1293"/>
      <c r="AH125" s="1901"/>
      <c r="AI125" s="1901"/>
      <c r="AJ125" s="1901"/>
      <c r="AK125" s="1901"/>
      <c r="AL125" s="1901"/>
      <c r="AM125" s="1901"/>
      <c r="AN125" s="1896"/>
    </row>
    <row r="126" spans="2:40" s="16" customFormat="1" ht="15" customHeight="1">
      <c r="B126" s="145" t="s">
        <v>65</v>
      </c>
      <c r="C126" s="145" t="s">
        <v>64</v>
      </c>
      <c r="D126" s="1861"/>
      <c r="E126" s="1861"/>
      <c r="F126" s="1861"/>
      <c r="G126" s="1861"/>
      <c r="H126" s="1861"/>
      <c r="I126" s="1861"/>
      <c r="J126" s="1861"/>
      <c r="K126" s="1861"/>
      <c r="L126" s="1861"/>
      <c r="M126" s="1861"/>
      <c r="N126" s="1861"/>
      <c r="O126" s="1862"/>
      <c r="P126" s="145" t="s">
        <v>66</v>
      </c>
      <c r="Q126" s="1861"/>
      <c r="R126" s="1861"/>
      <c r="S126" s="1861"/>
      <c r="T126" s="1861"/>
      <c r="U126" s="1861"/>
      <c r="V126" s="1861"/>
      <c r="W126" s="1862"/>
      <c r="X126" s="145" t="s">
        <v>67</v>
      </c>
      <c r="Y126" s="1861"/>
      <c r="Z126" s="1861"/>
      <c r="AA126" s="1861"/>
      <c r="AB126" s="1861"/>
      <c r="AC126" s="1861"/>
      <c r="AD126" s="1861"/>
      <c r="AE126" s="1861"/>
      <c r="AF126" s="1862"/>
      <c r="AG126" s="1861" t="s">
        <v>68</v>
      </c>
      <c r="AH126" s="1861"/>
      <c r="AI126" s="1861"/>
      <c r="AJ126" s="1861"/>
      <c r="AK126" s="1861"/>
      <c r="AL126" s="1861"/>
      <c r="AM126" s="1861"/>
      <c r="AN126" s="1862"/>
    </row>
    <row r="127" spans="2:40" ht="15" customHeight="1">
      <c r="B127" s="1304" t="s">
        <v>386</v>
      </c>
      <c r="C127" s="2118"/>
      <c r="D127" s="1314"/>
      <c r="E127" s="1314"/>
      <c r="F127" s="1314"/>
      <c r="G127" s="1314"/>
      <c r="H127" s="1314"/>
      <c r="I127" s="1314"/>
      <c r="J127" s="1314"/>
      <c r="K127" s="1314"/>
      <c r="L127" s="1314"/>
      <c r="M127" s="1314"/>
      <c r="N127" s="1314"/>
      <c r="O127" s="1315"/>
      <c r="P127" s="2148"/>
      <c r="Q127" s="2149"/>
      <c r="R127" s="2149"/>
      <c r="S127" s="2149"/>
      <c r="T127" s="2149"/>
      <c r="U127" s="2149"/>
      <c r="V127" s="2149"/>
      <c r="W127" s="2150"/>
      <c r="X127" s="2154"/>
      <c r="Y127" s="2155"/>
      <c r="Z127" s="2155"/>
      <c r="AA127" s="2155"/>
      <c r="AB127" s="2155"/>
      <c r="AC127" s="2155"/>
      <c r="AD127" s="2155"/>
      <c r="AE127" s="2155"/>
      <c r="AF127" s="2156"/>
      <c r="AG127" s="2163"/>
      <c r="AH127" s="2164"/>
      <c r="AI127" s="2164"/>
      <c r="AJ127" s="2164"/>
      <c r="AK127" s="2164"/>
      <c r="AL127" s="2164"/>
      <c r="AM127" s="2164"/>
      <c r="AN127" s="253"/>
    </row>
    <row r="128" spans="2:40" ht="6" customHeight="1">
      <c r="B128" s="1294"/>
      <c r="C128" s="2119"/>
      <c r="D128" s="1312"/>
      <c r="E128" s="1312"/>
      <c r="F128" s="1312"/>
      <c r="G128" s="1312"/>
      <c r="H128" s="1312"/>
      <c r="I128" s="1312"/>
      <c r="J128" s="1312"/>
      <c r="K128" s="1312"/>
      <c r="L128" s="1312"/>
      <c r="M128" s="1312"/>
      <c r="N128" s="1312"/>
      <c r="O128" s="1313"/>
      <c r="P128" s="2151"/>
      <c r="Q128" s="2152"/>
      <c r="R128" s="2152"/>
      <c r="S128" s="2152"/>
      <c r="T128" s="2152"/>
      <c r="U128" s="2152"/>
      <c r="V128" s="2152"/>
      <c r="W128" s="2153"/>
      <c r="X128" s="2157"/>
      <c r="Y128" s="2158"/>
      <c r="Z128" s="2158"/>
      <c r="AA128" s="2158"/>
      <c r="AB128" s="2158"/>
      <c r="AC128" s="2158"/>
      <c r="AD128" s="2158"/>
      <c r="AE128" s="2158"/>
      <c r="AF128" s="2159"/>
      <c r="AG128" s="2165"/>
      <c r="AH128" s="2166"/>
      <c r="AI128" s="2166"/>
      <c r="AJ128" s="2166"/>
      <c r="AK128" s="2166"/>
      <c r="AL128" s="2166"/>
      <c r="AM128" s="2166"/>
      <c r="AN128" s="254"/>
    </row>
    <row r="129" spans="2:40" ht="3" customHeight="1">
      <c r="B129" s="141"/>
      <c r="C129" s="2119"/>
      <c r="D129" s="1312"/>
      <c r="E129" s="1312"/>
      <c r="F129" s="1312"/>
      <c r="G129" s="1312"/>
      <c r="H129" s="1312"/>
      <c r="I129" s="1312"/>
      <c r="J129" s="1312"/>
      <c r="K129" s="1312"/>
      <c r="L129" s="1312"/>
      <c r="M129" s="1312"/>
      <c r="N129" s="1312"/>
      <c r="O129" s="1313"/>
      <c r="P129" s="2151"/>
      <c r="Q129" s="2152"/>
      <c r="R129" s="2152"/>
      <c r="S129" s="2152"/>
      <c r="T129" s="2152"/>
      <c r="U129" s="2152"/>
      <c r="V129" s="2152"/>
      <c r="W129" s="2153"/>
      <c r="X129" s="2160"/>
      <c r="Y129" s="2161"/>
      <c r="Z129" s="2161"/>
      <c r="AA129" s="2161"/>
      <c r="AB129" s="2161"/>
      <c r="AC129" s="2161"/>
      <c r="AD129" s="2161"/>
      <c r="AE129" s="2161"/>
      <c r="AF129" s="2162"/>
      <c r="AG129" s="252"/>
      <c r="AH129" s="252"/>
      <c r="AI129" s="252"/>
      <c r="AJ129" s="252"/>
      <c r="AK129" s="252"/>
      <c r="AL129" s="252"/>
      <c r="AM129" s="252"/>
      <c r="AN129" s="283"/>
    </row>
    <row r="130" spans="2:40" ht="15" customHeight="1">
      <c r="B130" s="1304" t="s">
        <v>387</v>
      </c>
      <c r="C130" s="590"/>
      <c r="D130" s="634"/>
      <c r="E130" s="634"/>
      <c r="F130" s="634"/>
      <c r="G130" s="634"/>
      <c r="H130" s="634"/>
      <c r="I130" s="634"/>
      <c r="J130" s="634"/>
      <c r="K130" s="634"/>
      <c r="L130" s="634"/>
      <c r="M130" s="634"/>
      <c r="N130" s="634"/>
      <c r="O130" s="1349"/>
      <c r="P130" s="2148"/>
      <c r="Q130" s="2149"/>
      <c r="R130" s="2149"/>
      <c r="S130" s="2149"/>
      <c r="T130" s="2149"/>
      <c r="U130" s="2149"/>
      <c r="V130" s="2149"/>
      <c r="W130" s="2150"/>
      <c r="X130" s="1869"/>
      <c r="Y130" s="1870"/>
      <c r="Z130" s="1870"/>
      <c r="AA130" s="1870"/>
      <c r="AB130" s="1870"/>
      <c r="AC130" s="1870"/>
      <c r="AD130" s="1870"/>
      <c r="AE130" s="1870"/>
      <c r="AF130" s="2117"/>
      <c r="AG130" s="1869"/>
      <c r="AH130" s="1870"/>
      <c r="AI130" s="1870"/>
      <c r="AJ130" s="1870"/>
      <c r="AK130" s="1870"/>
      <c r="AL130" s="1870"/>
      <c r="AM130" s="1870"/>
      <c r="AN130" s="1385"/>
    </row>
    <row r="131" spans="2:40" ht="6" customHeight="1">
      <c r="B131" s="1294"/>
      <c r="C131" s="591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1321"/>
      <c r="P131" s="2151"/>
      <c r="Q131" s="2152"/>
      <c r="R131" s="2152"/>
      <c r="S131" s="2152"/>
      <c r="T131" s="2152"/>
      <c r="U131" s="2152"/>
      <c r="V131" s="2152"/>
      <c r="W131" s="2153"/>
      <c r="X131" s="376"/>
      <c r="Y131" s="246"/>
      <c r="Z131" s="246"/>
      <c r="AA131" s="246"/>
      <c r="AB131" s="246"/>
      <c r="AC131" s="246"/>
      <c r="AD131" s="246"/>
      <c r="AE131" s="246"/>
      <c r="AF131" s="1943"/>
      <c r="AG131" s="376"/>
      <c r="AH131" s="246"/>
      <c r="AI131" s="246"/>
      <c r="AJ131" s="246"/>
      <c r="AK131" s="246"/>
      <c r="AL131" s="246"/>
      <c r="AM131" s="246"/>
      <c r="AN131" s="1320"/>
    </row>
    <row r="132" spans="2:40" ht="3" customHeight="1">
      <c r="B132" s="141"/>
      <c r="C132" s="591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1321"/>
      <c r="P132" s="2151"/>
      <c r="Q132" s="2152"/>
      <c r="R132" s="2152"/>
      <c r="S132" s="2152"/>
      <c r="T132" s="2152"/>
      <c r="U132" s="2152"/>
      <c r="V132" s="2152"/>
      <c r="W132" s="2153"/>
      <c r="X132" s="376"/>
      <c r="Y132" s="246"/>
      <c r="Z132" s="246"/>
      <c r="AA132" s="246"/>
      <c r="AB132" s="246"/>
      <c r="AC132" s="246"/>
      <c r="AD132" s="246"/>
      <c r="AE132" s="246"/>
      <c r="AF132" s="1943"/>
      <c r="AG132" s="246"/>
      <c r="AH132" s="246"/>
      <c r="AI132" s="246"/>
      <c r="AJ132" s="246"/>
      <c r="AK132" s="246"/>
      <c r="AL132" s="246"/>
      <c r="AM132" s="246"/>
      <c r="AN132" s="1320"/>
    </row>
    <row r="133" spans="2:40" ht="15" customHeight="1">
      <c r="B133" s="1304" t="s">
        <v>388</v>
      </c>
      <c r="C133" s="2659"/>
      <c r="D133" s="2660"/>
      <c r="E133" s="2660"/>
      <c r="F133" s="2660"/>
      <c r="G133" s="2660"/>
      <c r="H133" s="2660"/>
      <c r="I133" s="2660"/>
      <c r="J133" s="2660"/>
      <c r="K133" s="2660"/>
      <c r="L133" s="2660"/>
      <c r="M133" s="2660"/>
      <c r="N133" s="2660"/>
      <c r="O133" s="2661"/>
      <c r="P133" s="2148"/>
      <c r="Q133" s="2149"/>
      <c r="R133" s="2149"/>
      <c r="S133" s="2149"/>
      <c r="T133" s="2149"/>
      <c r="U133" s="2149"/>
      <c r="V133" s="2149"/>
      <c r="W133" s="2150"/>
      <c r="X133" s="1869"/>
      <c r="Y133" s="1870"/>
      <c r="Z133" s="1870"/>
      <c r="AA133" s="1870"/>
      <c r="AB133" s="1870"/>
      <c r="AC133" s="1870"/>
      <c r="AD133" s="1870"/>
      <c r="AE133" s="1870"/>
      <c r="AF133" s="2117"/>
      <c r="AG133" s="1869"/>
      <c r="AH133" s="1870"/>
      <c r="AI133" s="1870"/>
      <c r="AJ133" s="1870"/>
      <c r="AK133" s="1870"/>
      <c r="AL133" s="1870"/>
      <c r="AM133" s="1870"/>
      <c r="AN133" s="1386"/>
    </row>
    <row r="134" spans="2:40" ht="6" customHeight="1">
      <c r="B134" s="1294"/>
      <c r="C134" s="2662"/>
      <c r="D134" s="2663"/>
      <c r="E134" s="2663"/>
      <c r="F134" s="2663"/>
      <c r="G134" s="2663"/>
      <c r="H134" s="2663"/>
      <c r="I134" s="2663"/>
      <c r="J134" s="2663"/>
      <c r="K134" s="2663"/>
      <c r="L134" s="2663"/>
      <c r="M134" s="2663"/>
      <c r="N134" s="2663"/>
      <c r="O134" s="2664"/>
      <c r="P134" s="2151"/>
      <c r="Q134" s="2152"/>
      <c r="R134" s="2152"/>
      <c r="S134" s="2152"/>
      <c r="T134" s="2152"/>
      <c r="U134" s="2152"/>
      <c r="V134" s="2152"/>
      <c r="W134" s="2153"/>
      <c r="X134" s="376"/>
      <c r="Y134" s="246"/>
      <c r="Z134" s="246"/>
      <c r="AA134" s="246"/>
      <c r="AB134" s="246"/>
      <c r="AC134" s="246"/>
      <c r="AD134" s="246"/>
      <c r="AE134" s="246"/>
      <c r="AF134" s="1943"/>
      <c r="AG134" s="376"/>
      <c r="AH134" s="246"/>
      <c r="AI134" s="246"/>
      <c r="AJ134" s="246"/>
      <c r="AK134" s="246"/>
      <c r="AL134" s="246"/>
      <c r="AM134" s="246"/>
      <c r="AN134" s="286"/>
    </row>
    <row r="135" spans="2:40" ht="3" customHeight="1">
      <c r="B135" s="141"/>
      <c r="C135" s="2662"/>
      <c r="D135" s="2663"/>
      <c r="E135" s="2663"/>
      <c r="F135" s="2663"/>
      <c r="G135" s="2663"/>
      <c r="H135" s="2663"/>
      <c r="I135" s="2663"/>
      <c r="J135" s="2663"/>
      <c r="K135" s="2663"/>
      <c r="L135" s="2663"/>
      <c r="M135" s="2663"/>
      <c r="N135" s="2663"/>
      <c r="O135" s="2664"/>
      <c r="P135" s="2151"/>
      <c r="Q135" s="2152"/>
      <c r="R135" s="2152"/>
      <c r="S135" s="2152"/>
      <c r="T135" s="2152"/>
      <c r="U135" s="2152"/>
      <c r="V135" s="2152"/>
      <c r="W135" s="2153"/>
      <c r="X135" s="376"/>
      <c r="Y135" s="246"/>
      <c r="Z135" s="246"/>
      <c r="AA135" s="246"/>
      <c r="AB135" s="246"/>
      <c r="AC135" s="246"/>
      <c r="AD135" s="246"/>
      <c r="AE135" s="246"/>
      <c r="AF135" s="1943"/>
      <c r="AG135" s="246"/>
      <c r="AH135" s="246"/>
      <c r="AI135" s="246"/>
      <c r="AJ135" s="246"/>
      <c r="AK135" s="246"/>
      <c r="AL135" s="246"/>
      <c r="AM135" s="246"/>
      <c r="AN135" s="762"/>
    </row>
    <row r="136" spans="2:40" ht="15" customHeight="1">
      <c r="B136" s="1304" t="s">
        <v>389</v>
      </c>
      <c r="C136" s="2659"/>
      <c r="D136" s="2660"/>
      <c r="E136" s="2660"/>
      <c r="F136" s="2660"/>
      <c r="G136" s="2660"/>
      <c r="H136" s="2660"/>
      <c r="I136" s="2660"/>
      <c r="J136" s="2660"/>
      <c r="K136" s="2660"/>
      <c r="L136" s="2660"/>
      <c r="M136" s="2660"/>
      <c r="N136" s="2660"/>
      <c r="O136" s="2661"/>
      <c r="P136" s="2148"/>
      <c r="Q136" s="2149"/>
      <c r="R136" s="2149"/>
      <c r="S136" s="2149"/>
      <c r="T136" s="2149"/>
      <c r="U136" s="2149"/>
      <c r="V136" s="2149"/>
      <c r="W136" s="2150"/>
      <c r="X136" s="1869"/>
      <c r="Y136" s="1870"/>
      <c r="Z136" s="1870"/>
      <c r="AA136" s="1870"/>
      <c r="AB136" s="1870"/>
      <c r="AC136" s="1870"/>
      <c r="AD136" s="1870"/>
      <c r="AE136" s="1870"/>
      <c r="AF136" s="2117"/>
      <c r="AG136" s="1869"/>
      <c r="AH136" s="1870"/>
      <c r="AI136" s="1870"/>
      <c r="AJ136" s="1870"/>
      <c r="AK136" s="1870"/>
      <c r="AL136" s="1870"/>
      <c r="AM136" s="1870"/>
      <c r="AN136" s="1386"/>
    </row>
    <row r="137" spans="2:40" ht="3.75" customHeight="1">
      <c r="B137" s="1294"/>
      <c r="C137" s="2662"/>
      <c r="D137" s="2663"/>
      <c r="E137" s="2663"/>
      <c r="F137" s="2663"/>
      <c r="G137" s="2663"/>
      <c r="H137" s="2663"/>
      <c r="I137" s="2663"/>
      <c r="J137" s="2663"/>
      <c r="K137" s="2663"/>
      <c r="L137" s="2663"/>
      <c r="M137" s="2663"/>
      <c r="N137" s="2663"/>
      <c r="O137" s="2664"/>
      <c r="P137" s="2151"/>
      <c r="Q137" s="2152"/>
      <c r="R137" s="2152"/>
      <c r="S137" s="2152"/>
      <c r="T137" s="2152"/>
      <c r="U137" s="2152"/>
      <c r="V137" s="2152"/>
      <c r="W137" s="2153"/>
      <c r="X137" s="376"/>
      <c r="Y137" s="246"/>
      <c r="Z137" s="246"/>
      <c r="AA137" s="246"/>
      <c r="AB137" s="246"/>
      <c r="AC137" s="246"/>
      <c r="AD137" s="246"/>
      <c r="AE137" s="246"/>
      <c r="AF137" s="1943"/>
      <c r="AG137" s="376"/>
      <c r="AH137" s="246"/>
      <c r="AI137" s="246"/>
      <c r="AJ137" s="246"/>
      <c r="AK137" s="246"/>
      <c r="AL137" s="246"/>
      <c r="AM137" s="246"/>
      <c r="AN137" s="286"/>
    </row>
    <row r="138" spans="2:40" ht="3" customHeight="1">
      <c r="B138" s="141"/>
      <c r="C138" s="2662"/>
      <c r="D138" s="2663"/>
      <c r="E138" s="2663"/>
      <c r="F138" s="2663"/>
      <c r="G138" s="2663"/>
      <c r="H138" s="2663"/>
      <c r="I138" s="2663"/>
      <c r="J138" s="2663"/>
      <c r="K138" s="2663"/>
      <c r="L138" s="2663"/>
      <c r="M138" s="2663"/>
      <c r="N138" s="2663"/>
      <c r="O138" s="2664"/>
      <c r="P138" s="2151"/>
      <c r="Q138" s="2152"/>
      <c r="R138" s="2152"/>
      <c r="S138" s="2152"/>
      <c r="T138" s="2152"/>
      <c r="U138" s="2152"/>
      <c r="V138" s="2152"/>
      <c r="W138" s="2153"/>
      <c r="X138" s="376"/>
      <c r="Y138" s="246"/>
      <c r="Z138" s="246"/>
      <c r="AA138" s="246"/>
      <c r="AB138" s="246"/>
      <c r="AC138" s="246"/>
      <c r="AD138" s="246"/>
      <c r="AE138" s="246"/>
      <c r="AF138" s="1943"/>
      <c r="AG138" s="246"/>
      <c r="AH138" s="246"/>
      <c r="AI138" s="246"/>
      <c r="AJ138" s="246"/>
      <c r="AK138" s="246"/>
      <c r="AL138" s="246"/>
      <c r="AM138" s="246"/>
      <c r="AN138" s="762"/>
    </row>
    <row r="139" spans="2:40" ht="15" customHeight="1">
      <c r="B139" s="1304" t="s">
        <v>390</v>
      </c>
      <c r="C139" s="2659"/>
      <c r="D139" s="2660"/>
      <c r="E139" s="2660"/>
      <c r="F139" s="2660"/>
      <c r="G139" s="2660"/>
      <c r="H139" s="2660"/>
      <c r="I139" s="2660"/>
      <c r="J139" s="2660"/>
      <c r="K139" s="2660"/>
      <c r="L139" s="2660"/>
      <c r="M139" s="2660"/>
      <c r="N139" s="2660"/>
      <c r="O139" s="2661"/>
      <c r="P139" s="2148"/>
      <c r="Q139" s="2149"/>
      <c r="R139" s="2149"/>
      <c r="S139" s="2149"/>
      <c r="T139" s="2149"/>
      <c r="U139" s="2149"/>
      <c r="V139" s="2149"/>
      <c r="W139" s="2150"/>
      <c r="X139" s="1869"/>
      <c r="Y139" s="1870"/>
      <c r="Z139" s="1870"/>
      <c r="AA139" s="1870"/>
      <c r="AB139" s="1870"/>
      <c r="AC139" s="1870"/>
      <c r="AD139" s="1870"/>
      <c r="AE139" s="1870"/>
      <c r="AF139" s="2117"/>
      <c r="AG139" s="1869"/>
      <c r="AH139" s="1870"/>
      <c r="AI139" s="1870"/>
      <c r="AJ139" s="1870"/>
      <c r="AK139" s="1870"/>
      <c r="AL139" s="1870"/>
      <c r="AM139" s="1870"/>
      <c r="AN139" s="1386"/>
    </row>
    <row r="140" spans="2:40" ht="3.75" customHeight="1">
      <c r="B140" s="1294"/>
      <c r="C140" s="2662"/>
      <c r="D140" s="2663"/>
      <c r="E140" s="2663"/>
      <c r="F140" s="2663"/>
      <c r="G140" s="2663"/>
      <c r="H140" s="2663"/>
      <c r="I140" s="2663"/>
      <c r="J140" s="2663"/>
      <c r="K140" s="2663"/>
      <c r="L140" s="2663"/>
      <c r="M140" s="2663"/>
      <c r="N140" s="2663"/>
      <c r="O140" s="2664"/>
      <c r="P140" s="2151"/>
      <c r="Q140" s="2152"/>
      <c r="R140" s="2152"/>
      <c r="S140" s="2152"/>
      <c r="T140" s="2152"/>
      <c r="U140" s="2152"/>
      <c r="V140" s="2152"/>
      <c r="W140" s="2153"/>
      <c r="X140" s="376"/>
      <c r="Y140" s="246"/>
      <c r="Z140" s="246"/>
      <c r="AA140" s="246"/>
      <c r="AB140" s="246"/>
      <c r="AC140" s="246"/>
      <c r="AD140" s="246"/>
      <c r="AE140" s="246"/>
      <c r="AF140" s="1943"/>
      <c r="AG140" s="376"/>
      <c r="AH140" s="246"/>
      <c r="AI140" s="246"/>
      <c r="AJ140" s="246"/>
      <c r="AK140" s="246"/>
      <c r="AL140" s="246"/>
      <c r="AM140" s="246"/>
      <c r="AN140" s="286"/>
    </row>
    <row r="141" spans="2:40" ht="3" customHeight="1">
      <c r="B141" s="1900"/>
      <c r="C141" s="2665"/>
      <c r="D141" s="2666"/>
      <c r="E141" s="2666"/>
      <c r="F141" s="2666"/>
      <c r="G141" s="2666"/>
      <c r="H141" s="2666"/>
      <c r="I141" s="2666"/>
      <c r="J141" s="2666"/>
      <c r="K141" s="2666"/>
      <c r="L141" s="2666"/>
      <c r="M141" s="2666"/>
      <c r="N141" s="2666"/>
      <c r="O141" s="2667"/>
      <c r="P141" s="2170"/>
      <c r="Q141" s="2171"/>
      <c r="R141" s="2171"/>
      <c r="S141" s="2171"/>
      <c r="T141" s="2171"/>
      <c r="U141" s="2171"/>
      <c r="V141" s="2171"/>
      <c r="W141" s="2172"/>
      <c r="X141" s="377"/>
      <c r="Y141" s="1871"/>
      <c r="Z141" s="1871"/>
      <c r="AA141" s="1871"/>
      <c r="AB141" s="1871"/>
      <c r="AC141" s="1871"/>
      <c r="AD141" s="1871"/>
      <c r="AE141" s="1871"/>
      <c r="AF141" s="1944"/>
      <c r="AG141" s="310"/>
      <c r="AH141" s="310"/>
      <c r="AI141" s="310"/>
      <c r="AJ141" s="310"/>
      <c r="AK141" s="310"/>
      <c r="AL141" s="310"/>
      <c r="AM141" s="310"/>
      <c r="AN141" s="311"/>
    </row>
    <row r="142" spans="2:40" customHeight="1" thickBot="1"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</row>
    <row r="143" spans="2:36" ht="15" customHeight="1" thickBot="1">
      <c r="B143" s="316" t="s">
        <v>137</v>
      </c>
      <c r="C143" s="317"/>
      <c r="D143" s="317"/>
      <c r="E143" s="317"/>
      <c r="F143" s="317"/>
      <c r="G143" s="317"/>
      <c r="H143" s="317"/>
      <c r="I143" s="317"/>
      <c r="J143" s="317"/>
      <c r="K143" s="317"/>
      <c r="L143" s="317"/>
      <c r="M143" s="317"/>
      <c r="N143" s="317"/>
      <c r="O143" s="317"/>
      <c r="P143" s="317"/>
      <c r="Q143" s="317"/>
      <c r="R143" s="317"/>
      <c r="S143" s="318"/>
      <c r="T143" s="316"/>
      <c r="U143" s="318"/>
      <c r="V143" s="53"/>
      <c r="W143" s="53"/>
      <c r="X143" s="53"/>
      <c r="Y143" s="53"/>
      <c r="Z143" s="53"/>
      <c r="AC143" s="62" t="s">
        <v>141</v>
      </c>
      <c r="AD143" s="62"/>
      <c r="AE143" s="62"/>
      <c r="AF143"/>
      <c r="AG143" s="1387">
        <v>2</v>
      </c>
      <c r="AH143" s="790" t="s">
        <v>142</v>
      </c>
      <c r="AI143" s="1387">
        <v>2</v>
      </c>
      <c r="AJ143" s="62" t="s">
        <v>169</v>
      </c>
    </row>
    <row r="144" spans="1:41" customHeight="1">
      <c r="A144" s="1"/>
      <c r="B144" s="4"/>
      <c r="C144" s="4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O144" s="55"/>
    </row>
    <row r="147" spans="21:21" customHeight="1">
      <c r="U147" s="22"/>
    </row>
  </sheetData>
  <mergeCells count="204">
    <mergeCell ref="B17:B19"/>
    <mergeCell ref="C17:Q19"/>
    <mergeCell ref="R17:AC17"/>
    <mergeCell ref="AD17:AN17"/>
    <mergeCell ref="R18:AC18"/>
    <mergeCell ref="R19:AC19"/>
    <mergeCell ref="AD19:AN19"/>
    <mergeCell ref="AK2:AL3"/>
    <mergeCell ref="AM2:AN3"/>
    <mergeCell ref="K3:AD3"/>
    <mergeCell ref="C5:J5"/>
    <mergeCell ref="L5:W5"/>
    <mergeCell ref="C6:J6"/>
    <mergeCell ref="B2:B8"/>
    <mergeCell ref="C2:J4"/>
    <mergeCell ref="K2:AD2"/>
    <mergeCell ref="AE2:AF8"/>
    <mergeCell ref="AG2:AH3"/>
    <mergeCell ref="AI2:AJ3"/>
    <mergeCell ref="B25:B26"/>
    <mergeCell ref="C25:Q26"/>
    <mergeCell ref="R25:AB26"/>
    <mergeCell ref="AD25:AM26"/>
    <mergeCell ref="AD27:AM29"/>
    <mergeCell ref="B28:B29"/>
    <mergeCell ref="C28:M29"/>
    <mergeCell ref="R28:AB29"/>
    <mergeCell ref="C20:Q20"/>
    <mergeCell ref="R20:AC20"/>
    <mergeCell ref="AD20:AN20"/>
    <mergeCell ref="B22:B23"/>
    <mergeCell ref="C22:Q23"/>
    <mergeCell ref="R22:AB23"/>
    <mergeCell ref="AD22:AM23"/>
    <mergeCell ref="B37:B38"/>
    <mergeCell ref="C37:Q38"/>
    <mergeCell ref="R37:AB38"/>
    <mergeCell ref="AD37:AM38"/>
    <mergeCell ref="B40:B41"/>
    <mergeCell ref="C40:P41"/>
    <mergeCell ref="R40:AB41"/>
    <mergeCell ref="AD40:AM41"/>
    <mergeCell ref="AD30:AM32"/>
    <mergeCell ref="B31:B32"/>
    <mergeCell ref="C31:Q32"/>
    <mergeCell ref="R31:AB32"/>
    <mergeCell ref="AD33:AM35"/>
    <mergeCell ref="B34:B35"/>
    <mergeCell ref="R34:AB35"/>
    <mergeCell ref="C35:P35"/>
    <mergeCell ref="B43:B44"/>
    <mergeCell ref="C43:M44"/>
    <mergeCell ref="N43:Q44"/>
    <mergeCell ref="R43:AB44"/>
    <mergeCell ref="AD43:AM44"/>
    <mergeCell ref="AD45:AM47"/>
    <mergeCell ref="B46:B47"/>
    <mergeCell ref="C46:Q47"/>
    <mergeCell ref="R46:AB47"/>
    <mergeCell ref="AD54:AM56"/>
    <mergeCell ref="B55:B56"/>
    <mergeCell ref="C55:Q56"/>
    <mergeCell ref="R55:AB56"/>
    <mergeCell ref="B58:B59"/>
    <mergeCell ref="C58:Q59"/>
    <mergeCell ref="R58:AB59"/>
    <mergeCell ref="AD58:AM59"/>
    <mergeCell ref="AD48:AM50"/>
    <mergeCell ref="B49:B50"/>
    <mergeCell ref="C49:Q50"/>
    <mergeCell ref="R49:AB50"/>
    <mergeCell ref="AD51:AM53"/>
    <mergeCell ref="B52:B53"/>
    <mergeCell ref="C52:Q53"/>
    <mergeCell ref="R52:AB53"/>
    <mergeCell ref="B69:B71"/>
    <mergeCell ref="C69:D71"/>
    <mergeCell ref="E69:M71"/>
    <mergeCell ref="N69:Q69"/>
    <mergeCell ref="R69:AF69"/>
    <mergeCell ref="AG69:AN70"/>
    <mergeCell ref="N70:Q71"/>
    <mergeCell ref="R70:AF71"/>
    <mergeCell ref="B61:B62"/>
    <mergeCell ref="R61:AB62"/>
    <mergeCell ref="AD61:AM62"/>
    <mergeCell ref="H62:Q62"/>
    <mergeCell ref="C63:Q65"/>
    <mergeCell ref="AB63:AC65"/>
    <mergeCell ref="AD63:AM65"/>
    <mergeCell ref="B76:B77"/>
    <mergeCell ref="N76:Q77"/>
    <mergeCell ref="R76:AE77"/>
    <mergeCell ref="AG76:AN77"/>
    <mergeCell ref="B79:B80"/>
    <mergeCell ref="N79:Q80"/>
    <mergeCell ref="R79:AE80"/>
    <mergeCell ref="AG79:AN80"/>
    <mergeCell ref="C72:D72"/>
    <mergeCell ref="E72:M72"/>
    <mergeCell ref="N72:Q72"/>
    <mergeCell ref="R72:AF72"/>
    <mergeCell ref="AG72:AN72"/>
    <mergeCell ref="B73:B74"/>
    <mergeCell ref="E73:M75"/>
    <mergeCell ref="N73:Q74"/>
    <mergeCell ref="R73:AE74"/>
    <mergeCell ref="AG73:AN74"/>
    <mergeCell ref="C73:D74"/>
    <mergeCell ref="C76:D77"/>
    <mergeCell ref="E76:M77"/>
    <mergeCell ref="C79:D80"/>
    <mergeCell ref="E79:M80"/>
    <mergeCell ref="B82:B84"/>
    <mergeCell ref="N82:Q83"/>
    <mergeCell ref="R82:AE83"/>
    <mergeCell ref="AG82:AN83"/>
    <mergeCell ref="N85:Q86"/>
    <mergeCell ref="R85:AE86"/>
    <mergeCell ref="AG85:AN86"/>
    <mergeCell ref="AG96:AN97"/>
    <mergeCell ref="P97:AA97"/>
    <mergeCell ref="AB97:AF97"/>
    <mergeCell ref="C82:D83"/>
    <mergeCell ref="E82:M83"/>
    <mergeCell ref="C85:D86"/>
    <mergeCell ref="E85:M86"/>
    <mergeCell ref="C99:D99"/>
    <mergeCell ref="E99:O99"/>
    <mergeCell ref="P99:AA99"/>
    <mergeCell ref="AB99:AF99"/>
    <mergeCell ref="AG99:AN99"/>
    <mergeCell ref="C88:M90"/>
    <mergeCell ref="P88:Q90"/>
    <mergeCell ref="R88:AE89"/>
    <mergeCell ref="B100:B101"/>
    <mergeCell ref="E100:O102"/>
    <mergeCell ref="P100:AA101"/>
    <mergeCell ref="AB100:AF101"/>
    <mergeCell ref="C100:D101"/>
    <mergeCell ref="AG100:AN101"/>
    <mergeCell ref="B96:B98"/>
    <mergeCell ref="C96:D98"/>
    <mergeCell ref="E96:O98"/>
    <mergeCell ref="P96:AA96"/>
    <mergeCell ref="AB96:AF96"/>
    <mergeCell ref="B103:B104"/>
    <mergeCell ref="P103:AA105"/>
    <mergeCell ref="AB103:AF104"/>
    <mergeCell ref="P112:AA114"/>
    <mergeCell ref="AB112:AF113"/>
    <mergeCell ref="AG112:AN113"/>
    <mergeCell ref="C115:AA117"/>
    <mergeCell ref="AE115:AF117"/>
    <mergeCell ref="AG115:AM116"/>
    <mergeCell ref="B106:B107"/>
    <mergeCell ref="P106:AA108"/>
    <mergeCell ref="AB106:AF107"/>
    <mergeCell ref="AG106:AN107"/>
    <mergeCell ref="B109:B110"/>
    <mergeCell ref="P109:AA111"/>
    <mergeCell ref="AB109:AF110"/>
    <mergeCell ref="AG109:AN110"/>
    <mergeCell ref="C103:D104"/>
    <mergeCell ref="E103:O104"/>
    <mergeCell ref="AG103:AN104"/>
    <mergeCell ref="C106:D107"/>
    <mergeCell ref="E106:O107"/>
    <mergeCell ref="C109:D110"/>
    <mergeCell ref="E109:O110"/>
    <mergeCell ref="X130:AF132"/>
    <mergeCell ref="AG130:AM131"/>
    <mergeCell ref="B123:B125"/>
    <mergeCell ref="C123:O125"/>
    <mergeCell ref="P123:W125"/>
    <mergeCell ref="X123:AF125"/>
    <mergeCell ref="AG123:AN125"/>
    <mergeCell ref="C126:O126"/>
    <mergeCell ref="P126:W126"/>
    <mergeCell ref="X126:AF126"/>
    <mergeCell ref="AG126:AN126"/>
    <mergeCell ref="B127:B128"/>
    <mergeCell ref="C127:O129"/>
    <mergeCell ref="P127:W129"/>
    <mergeCell ref="X127:AF129"/>
    <mergeCell ref="AG127:AM128"/>
    <mergeCell ref="B130:B131"/>
    <mergeCell ref="C130:O132"/>
    <mergeCell ref="P130:W132"/>
    <mergeCell ref="B139:B141"/>
    <mergeCell ref="C139:O141"/>
    <mergeCell ref="P139:W141"/>
    <mergeCell ref="X139:AF141"/>
    <mergeCell ref="AG139:AM140"/>
    <mergeCell ref="B133:B134"/>
    <mergeCell ref="C133:O135"/>
    <mergeCell ref="P133:W135"/>
    <mergeCell ref="X133:AF135"/>
    <mergeCell ref="AG133:AM134"/>
    <mergeCell ref="B136:B137"/>
    <mergeCell ref="C136:O138"/>
    <mergeCell ref="P136:W138"/>
    <mergeCell ref="X136:AF138"/>
    <mergeCell ref="AG136:AM137"/>
  </mergeCells>
  <printOptions horizontalCentered="1"/>
  <pageMargins left="0.7" right="0.7" top="0.75" bottom="0.75" header="0.3" footer="0.3"/>
  <pageSetup paperSize="5" scale="59" fitToHeight="0" orientation="portrait" r:id="rId1"/>
  <headerFooter alignWithMargins="0">
    <oddHeader>&amp;R&amp;"Arial,Bold"&amp;14C.2.1.&amp;P</oddHeader>
    <oddFooter>&amp;L&amp;8Page &amp;P of &amp;N&amp;R&amp;8Printed on &amp;D,&amp;T</oddFooter>
  </headerFooter>
</worksheet>
</file>

<file path=xl/worksheets/sheet19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00b0f0"/>
    <pageSetUpPr fitToPage="1"/>
  </sheetPr>
  <dimension ref="A2:BC128"/>
  <sheetViews>
    <sheetView topLeftCell="A85" zoomScaleNormal="75" zoomScaleSheetLayoutView="100" view="pageBreakPreview" workbookViewId="0">
      <selection pane="topLeft" activeCell="A5" sqref="A5"/>
    </sheetView>
  </sheetViews>
  <sheetFormatPr defaultColWidth="4.56640625" defaultRowHeight="12.5" baseColWidth="0"/>
  <cols>
    <col min="1" max="1" width="6.56640625" style="378" customWidth="1"/>
    <col min="2" max="16" width="5.13671875" style="378" customWidth="1"/>
    <col min="17" max="24" width="5.28125" style="378" customWidth="1"/>
    <col min="25" max="28" width="4.99609375" style="378" customWidth="1"/>
    <col min="29" max="29" width="4.421875" style="378" customWidth="1"/>
    <col min="30" max="16384" width="4.56640625" style="378" customWidth="1"/>
  </cols>
  <sheetData>
    <row r="2" spans="1:29" ht="11.25" customHeight="1">
      <c r="A2" s="378"/>
      <c r="B2" s="378"/>
      <c r="C2" s="378"/>
      <c r="D2" s="378"/>
      <c r="E2" s="378"/>
      <c r="F2" s="378"/>
      <c r="G2" s="378"/>
      <c r="H2" s="378"/>
      <c r="I2" s="378"/>
      <c r="Z2" s="378"/>
      <c r="AA2" s="378"/>
      <c r="AB2" s="378"/>
      <c r="AC2" s="379"/>
    </row>
    <row r="3" spans="26:29" ht="3.75" customHeight="1">
      <c r="Z3" s="378"/>
      <c r="AA3" s="378"/>
      <c r="AB3" s="378"/>
      <c r="AC3" s="379"/>
    </row>
    <row r="4" spans="1:29" ht="6" customHeight="1">
      <c r="A4" s="378"/>
      <c r="B4" s="378"/>
      <c r="C4" s="378"/>
      <c r="D4" s="378"/>
      <c r="E4" s="378"/>
      <c r="F4" s="378"/>
      <c r="G4" s="378"/>
      <c r="H4" s="378"/>
      <c r="I4" s="378"/>
      <c r="Z4" s="378"/>
      <c r="AA4" s="378"/>
      <c r="AB4" s="378"/>
      <c r="AC4" s="379"/>
    </row>
    <row r="5" spans="1:29" ht="33" customHeight="1">
      <c r="A5" s="2705" t="s">
        <v>356</v>
      </c>
      <c r="B5" s="2705"/>
      <c r="C5" s="2705"/>
      <c r="D5" s="2705"/>
      <c r="E5" s="2705"/>
      <c r="F5" s="2705"/>
      <c r="G5" s="2705"/>
      <c r="H5" s="2705"/>
      <c r="I5" s="2705"/>
      <c r="J5" s="2705"/>
      <c r="K5" s="2705"/>
      <c r="L5" s="2705"/>
      <c r="M5" s="2705"/>
      <c r="N5" s="2705"/>
      <c r="O5" s="2705"/>
      <c r="P5" s="2705"/>
      <c r="Q5" s="2705"/>
      <c r="R5" s="2705"/>
      <c r="S5" s="2705"/>
      <c r="T5" s="2705"/>
      <c r="U5" s="2705"/>
      <c r="V5" s="2705"/>
      <c r="W5" s="2705"/>
      <c r="X5" s="2705"/>
      <c r="Y5" s="2705"/>
      <c r="Z5" s="2705"/>
      <c r="AA5" s="2705"/>
      <c r="AB5" s="2705"/>
      <c r="AC5" s="2705"/>
    </row>
    <row r="6" spans="1:29" s="378" customFormat="1" ht="33" customHeight="1">
      <c r="A6" s="380" t="s">
        <v>936</v>
      </c>
      <c r="B6" s="380"/>
      <c r="C6" s="380"/>
      <c r="D6" s="380"/>
      <c r="E6" s="380"/>
      <c r="F6" s="380"/>
      <c r="G6" s="380" t="str">
        <f>'Attachment JP'!E5</f>
        <v>0</v>
      </c>
      <c r="I6" s="380"/>
      <c r="S6" s="381"/>
      <c r="T6" s="379"/>
      <c r="U6" s="379"/>
      <c r="V6" s="379"/>
      <c r="W6" s="379"/>
      <c r="X6" s="379"/>
      <c r="Y6" s="382"/>
      <c r="Z6" s="383"/>
      <c r="AA6" s="384"/>
      <c r="AB6" s="379"/>
      <c r="AC6" s="379"/>
    </row>
    <row r="7" spans="1:29" s="378" customFormat="1" ht="33" customHeight="1">
      <c r="A7" s="620" t="s">
        <v>937</v>
      </c>
      <c r="B7" s="620"/>
      <c r="C7" s="620"/>
      <c r="D7" s="620"/>
      <c r="E7" s="620"/>
      <c r="F7" s="620"/>
      <c r="G7" s="620" t="str">
        <f>'Attachment JP'!E6</f>
        <v>...-.</v>
      </c>
      <c r="H7" s="621"/>
      <c r="I7" s="380"/>
      <c r="S7" s="381"/>
      <c r="T7" s="379"/>
      <c r="U7" s="379"/>
      <c r="V7" s="379"/>
      <c r="W7" s="379"/>
      <c r="X7" s="379"/>
      <c r="Y7" s="382"/>
      <c r="Z7" s="383"/>
      <c r="AA7" s="384"/>
      <c r="AB7" s="379"/>
      <c r="AC7" s="379"/>
    </row>
    <row r="8" spans="1:30" ht="5.25" customHeight="1">
      <c r="A8" s="616"/>
      <c r="B8" s="616"/>
      <c r="C8" s="616"/>
      <c r="D8" s="616"/>
      <c r="E8" s="616"/>
      <c r="F8" s="616"/>
      <c r="G8" s="616"/>
      <c r="H8" s="616"/>
      <c r="I8" s="616"/>
      <c r="J8" s="616"/>
      <c r="K8" s="616"/>
      <c r="L8" s="616"/>
      <c r="M8" s="616"/>
      <c r="N8" s="616"/>
      <c r="O8" s="616"/>
      <c r="P8" s="616"/>
      <c r="Q8" s="616"/>
      <c r="R8" s="616"/>
      <c r="S8" s="616"/>
      <c r="T8" s="616"/>
      <c r="U8" s="616"/>
      <c r="V8" s="616"/>
      <c r="W8" s="616"/>
      <c r="X8" s="616"/>
      <c r="Y8" s="616"/>
      <c r="Z8" s="616"/>
      <c r="AA8" s="616"/>
      <c r="AB8" s="616"/>
      <c r="AC8" s="617"/>
      <c r="AD8" s="385"/>
    </row>
    <row r="9" spans="1:30" ht="3.75" customHeight="1">
      <c r="A9" s="616"/>
      <c r="B9" s="616"/>
      <c r="C9" s="616"/>
      <c r="D9" s="616"/>
      <c r="E9" s="616"/>
      <c r="F9" s="616"/>
      <c r="G9" s="616"/>
      <c r="H9" s="616"/>
      <c r="I9" s="616"/>
      <c r="J9" s="616"/>
      <c r="K9" s="616"/>
      <c r="L9" s="616"/>
      <c r="M9" s="616"/>
      <c r="N9" s="616"/>
      <c r="O9" s="616"/>
      <c r="P9" s="616"/>
      <c r="Q9" s="616"/>
      <c r="R9" s="616"/>
      <c r="S9" s="616"/>
      <c r="T9" s="616"/>
      <c r="U9" s="616"/>
      <c r="V9" s="616"/>
      <c r="W9" s="616"/>
      <c r="X9" s="616"/>
      <c r="Y9" s="616"/>
      <c r="Z9" s="616"/>
      <c r="AA9" s="616"/>
      <c r="AB9" s="616"/>
      <c r="AC9" s="617"/>
      <c r="AD9" s="385"/>
    </row>
    <row r="12" spans="2:2" s="386" customFormat="1" ht="20">
      <c r="B12" s="387" t="s">
        <v>477</v>
      </c>
    </row>
    <row r="13" spans="3:3" s="386" customFormat="1" ht="18" customHeight="1" thickBot="1">
      <c r="C13" s="387"/>
    </row>
    <row r="14" spans="2:47" s="734" customFormat="1" ht="27" customHeight="1" thickBot="1">
      <c r="B14" s="2380" t="s">
        <v>463</v>
      </c>
      <c r="C14" s="2381"/>
      <c r="D14" s="2381"/>
      <c r="E14" s="2381"/>
      <c r="F14" s="2382"/>
      <c r="G14" s="2381" t="s">
        <v>503</v>
      </c>
      <c r="H14" s="2382"/>
      <c r="I14" s="2370" t="s">
        <v>999</v>
      </c>
      <c r="J14" s="2371"/>
      <c r="K14" s="2371"/>
      <c r="L14" s="2371"/>
      <c r="M14" s="2371"/>
      <c r="N14" s="2371"/>
      <c r="O14" s="2371"/>
      <c r="P14" s="2372"/>
      <c r="Q14" s="2370" t="s">
        <v>1002</v>
      </c>
      <c r="R14" s="2371"/>
      <c r="S14" s="2371"/>
      <c r="T14" s="2371"/>
      <c r="U14" s="2371"/>
      <c r="V14" s="2371"/>
      <c r="W14" s="2371"/>
      <c r="X14" s="2372"/>
      <c r="Y14" s="2389" t="s">
        <v>1003</v>
      </c>
      <c r="Z14" s="2381"/>
      <c r="AA14" s="2381"/>
      <c r="AB14" s="2429"/>
      <c r="AC14" s="388"/>
      <c r="AD14" s="388"/>
      <c r="AF14" s="388"/>
      <c r="AG14" s="388"/>
      <c r="AH14" s="388"/>
      <c r="AI14" s="388"/>
      <c r="AJ14" s="388"/>
      <c r="AK14" s="388"/>
      <c r="AL14" s="389"/>
      <c r="AM14" s="389"/>
      <c r="AN14" s="389"/>
      <c r="AO14" s="389"/>
      <c r="AP14" s="389"/>
      <c r="AQ14" s="389"/>
      <c r="AR14" s="389"/>
      <c r="AS14" s="389"/>
      <c r="AT14" s="389"/>
      <c r="AU14" s="389"/>
    </row>
    <row r="15" spans="2:47" s="734" customFormat="1" ht="27" customHeight="1" thickBot="1">
      <c r="B15" s="2383"/>
      <c r="C15" s="2350"/>
      <c r="D15" s="2350"/>
      <c r="E15" s="2350"/>
      <c r="F15" s="2351"/>
      <c r="G15" s="2350"/>
      <c r="H15" s="2351"/>
      <c r="I15" s="2370" t="s">
        <v>1000</v>
      </c>
      <c r="J15" s="2371"/>
      <c r="K15" s="2371"/>
      <c r="L15" s="2372"/>
      <c r="M15" s="2371" t="s">
        <v>1001</v>
      </c>
      <c r="N15" s="2371"/>
      <c r="O15" s="2371"/>
      <c r="P15" s="2372"/>
      <c r="Q15" s="2370" t="s">
        <v>1000</v>
      </c>
      <c r="R15" s="2371"/>
      <c r="S15" s="2371"/>
      <c r="T15" s="2372"/>
      <c r="U15" s="2371" t="s">
        <v>1001</v>
      </c>
      <c r="V15" s="2371"/>
      <c r="W15" s="2371"/>
      <c r="X15" s="2372"/>
      <c r="Y15" s="2349"/>
      <c r="Z15" s="2350"/>
      <c r="AA15" s="2350"/>
      <c r="AB15" s="2430"/>
      <c r="AC15" s="388"/>
      <c r="AD15" s="388"/>
      <c r="AF15" s="388"/>
      <c r="AG15" s="388"/>
      <c r="AH15" s="388"/>
      <c r="AI15" s="388"/>
      <c r="AJ15" s="388"/>
      <c r="AK15" s="388"/>
      <c r="AL15" s="389"/>
      <c r="AM15" s="389"/>
      <c r="AN15" s="389"/>
      <c r="AO15" s="389"/>
      <c r="AP15" s="389"/>
      <c r="AQ15" s="389"/>
      <c r="AR15" s="389"/>
      <c r="AS15" s="389"/>
      <c r="AT15" s="389"/>
      <c r="AU15" s="389"/>
    </row>
    <row r="16" spans="2:47" s="735" customFormat="1" ht="16.15" customHeight="1" thickBot="1">
      <c r="B16" s="2387" t="s">
        <v>65</v>
      </c>
      <c r="C16" s="2368"/>
      <c r="D16" s="2368"/>
      <c r="E16" s="2368"/>
      <c r="F16" s="2369"/>
      <c r="G16" s="2367" t="s">
        <v>64</v>
      </c>
      <c r="H16" s="2369"/>
      <c r="I16" s="2367" t="s">
        <v>66</v>
      </c>
      <c r="J16" s="2368"/>
      <c r="K16" s="2368"/>
      <c r="L16" s="2369"/>
      <c r="M16" s="2367" t="s">
        <v>67</v>
      </c>
      <c r="N16" s="2368"/>
      <c r="O16" s="2368"/>
      <c r="P16" s="2369"/>
      <c r="Q16" s="2367" t="s">
        <v>68</v>
      </c>
      <c r="R16" s="2368"/>
      <c r="S16" s="2368"/>
      <c r="T16" s="2369"/>
      <c r="U16" s="2367" t="s">
        <v>100</v>
      </c>
      <c r="V16" s="2368"/>
      <c r="W16" s="2368"/>
      <c r="X16" s="2369"/>
      <c r="Y16" s="2367" t="s">
        <v>154</v>
      </c>
      <c r="Z16" s="2368"/>
      <c r="AA16" s="2368"/>
      <c r="AB16" s="2431"/>
      <c r="AC16" s="388"/>
      <c r="AD16" s="388"/>
      <c r="AF16" s="388"/>
      <c r="AG16" s="388"/>
      <c r="AH16" s="388"/>
      <c r="AI16" s="388"/>
      <c r="AJ16" s="388"/>
      <c r="AK16" s="388"/>
      <c r="AL16" s="389"/>
      <c r="AM16" s="389"/>
      <c r="AN16" s="389"/>
      <c r="AO16" s="389"/>
      <c r="AP16" s="389"/>
      <c r="AQ16" s="389"/>
      <c r="AR16" s="389"/>
      <c r="AS16" s="389"/>
      <c r="AT16" s="389"/>
      <c r="AU16" s="389"/>
    </row>
    <row r="17" spans="2:37" s="386" customFormat="1" ht="6.75" customHeight="1">
      <c r="B17" s="1399"/>
      <c r="C17" s="1400"/>
      <c r="D17" s="1400"/>
      <c r="E17" s="1400"/>
      <c r="F17" s="1402"/>
      <c r="G17" s="1400"/>
      <c r="H17" s="1400"/>
      <c r="I17" s="1401"/>
      <c r="J17" s="1400"/>
      <c r="K17" s="1400"/>
      <c r="L17" s="1402"/>
      <c r="M17" s="1400"/>
      <c r="N17" s="1400"/>
      <c r="O17" s="1400"/>
      <c r="P17" s="1402"/>
      <c r="Q17" s="1401"/>
      <c r="R17" s="1400"/>
      <c r="S17" s="1400"/>
      <c r="T17" s="1403"/>
      <c r="U17" s="1404"/>
      <c r="V17" s="1404"/>
      <c r="W17" s="1404"/>
      <c r="X17" s="1403"/>
      <c r="Y17" s="1404"/>
      <c r="Z17" s="1404"/>
      <c r="AA17" s="1404"/>
      <c r="AB17" s="1405"/>
      <c r="AC17" s="390"/>
      <c r="AD17" s="390"/>
      <c r="AF17" s="390"/>
      <c r="AG17" s="390"/>
      <c r="AH17" s="390"/>
      <c r="AI17" s="390"/>
      <c r="AJ17" s="390"/>
      <c r="AK17" s="390"/>
    </row>
    <row r="18" spans="2:37" s="386" customFormat="1">
      <c r="B18" s="2334" t="str">
        <f>'JAPANESE INCOME'!D138</f>
        <v/>
      </c>
      <c r="C18" s="2335"/>
      <c r="D18" s="2335"/>
      <c r="E18" s="2335"/>
      <c r="F18" s="2336"/>
      <c r="G18" s="2337" t="str">
        <f>+'JAPANESE INCOME'!F138</f>
        <v/>
      </c>
      <c r="H18" s="2339"/>
      <c r="I18" s="2331" t="str">
        <f>'JAPANESE INCOME'!G138</f>
        <v/>
      </c>
      <c r="J18" s="2332"/>
      <c r="K18" s="2332"/>
      <c r="L18" s="2333"/>
      <c r="M18" s="2322" t="str">
        <f>'JAPANESE INCOME'!H138</f>
        <v/>
      </c>
      <c r="N18" s="2323"/>
      <c r="O18" s="2323"/>
      <c r="P18" s="2324"/>
      <c r="Q18" s="2690" t="str">
        <f>+'JAPANESE INCOME'!I138</f>
        <v/>
      </c>
      <c r="R18" s="2691"/>
      <c r="S18" s="2691"/>
      <c r="T18" s="2692"/>
      <c r="U18" s="2322" t="str">
        <f>+'JAPANESE INCOME'!J138</f>
        <v/>
      </c>
      <c r="V18" s="2323"/>
      <c r="W18" s="2323"/>
      <c r="X18" s="2324"/>
      <c r="Y18" s="2322"/>
      <c r="Z18" s="2323"/>
      <c r="AA18" s="2323"/>
      <c r="AB18" s="2408"/>
      <c r="AC18" s="386"/>
      <c r="AD18" s="386"/>
      <c r="AF18" s="386"/>
      <c r="AG18" s="386"/>
      <c r="AH18" s="386"/>
      <c r="AI18" s="386"/>
      <c r="AJ18" s="386"/>
      <c r="AK18" s="386"/>
    </row>
    <row r="19" spans="2:37" s="386" customFormat="1">
      <c r="B19" s="2334" t="str">
        <f>'JAPANESE INCOME'!D139</f>
        <v/>
      </c>
      <c r="C19" s="2335"/>
      <c r="D19" s="2335"/>
      <c r="E19" s="2335"/>
      <c r="F19" s="2336"/>
      <c r="G19" s="2337" t="str">
        <f>+'JAPANESE INCOME'!F139</f>
        <v/>
      </c>
      <c r="H19" s="2339"/>
      <c r="I19" s="2331" t="str">
        <f>'JAPANESE INCOME'!G139</f>
        <v/>
      </c>
      <c r="J19" s="2332"/>
      <c r="K19" s="2332"/>
      <c r="L19" s="2333"/>
      <c r="M19" s="2322" t="str">
        <f>'JAPANESE INCOME'!H139</f>
        <v/>
      </c>
      <c r="N19" s="2323"/>
      <c r="O19" s="2323"/>
      <c r="P19" s="2324"/>
      <c r="Q19" s="2690" t="str">
        <f>+'JAPANESE INCOME'!I139</f>
        <v/>
      </c>
      <c r="R19" s="2691"/>
      <c r="S19" s="2691"/>
      <c r="T19" s="2692"/>
      <c r="U19" s="2322" t="str">
        <f>+'JAPANESE INCOME'!J139</f>
        <v/>
      </c>
      <c r="V19" s="2323"/>
      <c r="W19" s="2323"/>
      <c r="X19" s="2324"/>
      <c r="Y19" s="2409"/>
      <c r="Z19" s="2410"/>
      <c r="AA19" s="2410"/>
      <c r="AB19" s="2411"/>
      <c r="AC19" s="391"/>
      <c r="AD19" s="391"/>
      <c r="AF19" s="391"/>
      <c r="AG19" s="391"/>
      <c r="AH19" s="391"/>
      <c r="AI19" s="391"/>
      <c r="AJ19" s="391"/>
      <c r="AK19" s="391"/>
    </row>
    <row r="20" spans="2:37" s="386" customFormat="1">
      <c r="B20" s="2334" t="str">
        <f>'JAPANESE INCOME'!D140</f>
        <v/>
      </c>
      <c r="C20" s="2335"/>
      <c r="D20" s="2335"/>
      <c r="E20" s="2335"/>
      <c r="F20" s="2336"/>
      <c r="G20" s="2337" t="str">
        <f>+'JAPANESE INCOME'!F140</f>
        <v/>
      </c>
      <c r="H20" s="2339"/>
      <c r="I20" s="2331" t="str">
        <f>'JAPANESE INCOME'!G140</f>
        <v/>
      </c>
      <c r="J20" s="2332"/>
      <c r="K20" s="2332"/>
      <c r="L20" s="2333"/>
      <c r="M20" s="2322" t="str">
        <f>'JAPANESE INCOME'!H140</f>
        <v/>
      </c>
      <c r="N20" s="2323"/>
      <c r="O20" s="2323"/>
      <c r="P20" s="2324"/>
      <c r="Q20" s="2690" t="str">
        <f>+'JAPANESE INCOME'!I140</f>
        <v/>
      </c>
      <c r="R20" s="2691"/>
      <c r="S20" s="2691"/>
      <c r="T20" s="2692"/>
      <c r="U20" s="2322" t="str">
        <f>+'JAPANESE INCOME'!J140</f>
        <v/>
      </c>
      <c r="V20" s="2323"/>
      <c r="W20" s="2323"/>
      <c r="X20" s="2324"/>
      <c r="Y20" s="2409"/>
      <c r="Z20" s="2410"/>
      <c r="AA20" s="2410"/>
      <c r="AB20" s="2411"/>
      <c r="AC20" s="391"/>
      <c r="AD20" s="391"/>
      <c r="AF20" s="391"/>
      <c r="AG20" s="391"/>
      <c r="AH20" s="391"/>
      <c r="AI20" s="391"/>
      <c r="AJ20" s="391"/>
      <c r="AK20" s="391"/>
    </row>
    <row r="21" spans="2:37" s="386" customFormat="1">
      <c r="B21" s="2334" t="str">
        <f>'JAPANESE INCOME'!D141</f>
        <v/>
      </c>
      <c r="C21" s="2335"/>
      <c r="D21" s="2335"/>
      <c r="E21" s="2335"/>
      <c r="F21" s="2336"/>
      <c r="G21" s="2337" t="str">
        <f>+'JAPANESE INCOME'!F141</f>
        <v/>
      </c>
      <c r="H21" s="2339"/>
      <c r="I21" s="2331" t="str">
        <f>'JAPANESE INCOME'!G141</f>
        <v/>
      </c>
      <c r="J21" s="2332"/>
      <c r="K21" s="2332"/>
      <c r="L21" s="2333"/>
      <c r="M21" s="2322" t="str">
        <f>'JAPANESE INCOME'!H141</f>
        <v/>
      </c>
      <c r="N21" s="2323"/>
      <c r="O21" s="2323"/>
      <c r="P21" s="2324"/>
      <c r="Q21" s="2690" t="str">
        <f>+'JAPANESE INCOME'!I141</f>
        <v/>
      </c>
      <c r="R21" s="2691"/>
      <c r="S21" s="2691"/>
      <c r="T21" s="2692"/>
      <c r="U21" s="2322" t="str">
        <f>+'JAPANESE INCOME'!J141</f>
        <v/>
      </c>
      <c r="V21" s="2323"/>
      <c r="W21" s="2323"/>
      <c r="X21" s="2324"/>
      <c r="Y21" s="2409"/>
      <c r="Z21" s="2410"/>
      <c r="AA21" s="2410"/>
      <c r="AB21" s="2411"/>
      <c r="AC21" s="391"/>
      <c r="AD21" s="391"/>
      <c r="AF21" s="391"/>
      <c r="AG21" s="391"/>
      <c r="AH21" s="391"/>
      <c r="AI21" s="391"/>
      <c r="AJ21" s="391"/>
      <c r="AK21" s="391"/>
    </row>
    <row r="22" spans="2:37" s="386" customFormat="1">
      <c r="B22" s="2334" t="str">
        <f>'JAPANESE INCOME'!D142</f>
        <v/>
      </c>
      <c r="C22" s="2335"/>
      <c r="D22" s="2335"/>
      <c r="E22" s="2335"/>
      <c r="F22" s="2336"/>
      <c r="G22" s="2337" t="str">
        <f>+'JAPANESE INCOME'!F142</f>
        <v/>
      </c>
      <c r="H22" s="2339"/>
      <c r="I22" s="2331" t="str">
        <f>'JAPANESE INCOME'!G142</f>
        <v/>
      </c>
      <c r="J22" s="2332"/>
      <c r="K22" s="2332"/>
      <c r="L22" s="2333"/>
      <c r="M22" s="2322" t="str">
        <f>'JAPANESE INCOME'!H142</f>
        <v/>
      </c>
      <c r="N22" s="2323"/>
      <c r="O22" s="2323"/>
      <c r="P22" s="2324"/>
      <c r="Q22" s="2690" t="str">
        <f>+'JAPANESE INCOME'!I142</f>
        <v/>
      </c>
      <c r="R22" s="2691"/>
      <c r="S22" s="2691"/>
      <c r="T22" s="2692"/>
      <c r="U22" s="2322" t="str">
        <f>+'JAPANESE INCOME'!J142</f>
        <v/>
      </c>
      <c r="V22" s="2323"/>
      <c r="W22" s="2323"/>
      <c r="X22" s="2324"/>
      <c r="Y22" s="2409"/>
      <c r="Z22" s="2410"/>
      <c r="AA22" s="2410"/>
      <c r="AB22" s="2411"/>
      <c r="AC22" s="391"/>
      <c r="AD22" s="391"/>
      <c r="AF22" s="391"/>
      <c r="AG22" s="391"/>
      <c r="AH22" s="391"/>
      <c r="AI22" s="391"/>
      <c r="AJ22" s="391"/>
      <c r="AK22" s="391"/>
    </row>
    <row r="23" spans="2:37" s="386" customFormat="1">
      <c r="B23" s="2334" t="str">
        <f>'JAPANESE INCOME'!D143</f>
        <v/>
      </c>
      <c r="C23" s="2335"/>
      <c r="D23" s="2335"/>
      <c r="E23" s="2335"/>
      <c r="F23" s="2336"/>
      <c r="G23" s="2337" t="str">
        <f>+'JAPANESE INCOME'!F143</f>
        <v/>
      </c>
      <c r="H23" s="2339"/>
      <c r="I23" s="2331" t="str">
        <f>'JAPANESE INCOME'!G143</f>
        <v/>
      </c>
      <c r="J23" s="2332"/>
      <c r="K23" s="2332"/>
      <c r="L23" s="2333"/>
      <c r="M23" s="2322" t="str">
        <f>'JAPANESE INCOME'!H143</f>
        <v/>
      </c>
      <c r="N23" s="2323"/>
      <c r="O23" s="2323"/>
      <c r="P23" s="2324"/>
      <c r="Q23" s="2690" t="str">
        <f>+'JAPANESE INCOME'!I143</f>
        <v/>
      </c>
      <c r="R23" s="2691"/>
      <c r="S23" s="2691"/>
      <c r="T23" s="2692"/>
      <c r="U23" s="2322" t="str">
        <f>+'JAPANESE INCOME'!J143</f>
        <v/>
      </c>
      <c r="V23" s="2323"/>
      <c r="W23" s="2323"/>
      <c r="X23" s="2324"/>
      <c r="Y23" s="2409"/>
      <c r="Z23" s="2410"/>
      <c r="AA23" s="2410"/>
      <c r="AB23" s="2411"/>
      <c r="AC23" s="391"/>
      <c r="AD23" s="391"/>
      <c r="AF23" s="391"/>
      <c r="AG23" s="391"/>
      <c r="AH23" s="391"/>
      <c r="AI23" s="391"/>
      <c r="AJ23" s="391"/>
      <c r="AK23" s="391"/>
    </row>
    <row r="24" spans="2:37" s="386" customFormat="1">
      <c r="B24" s="2334">
        <f>'JAPANESE INCOME'!D144</f>
        <v>0</v>
      </c>
      <c r="C24" s="2335"/>
      <c r="D24" s="2335"/>
      <c r="E24" s="2335"/>
      <c r="F24" s="2336"/>
      <c r="G24" s="2337">
        <f>+'JAPANESE INCOME'!F144</f>
        <v>0</v>
      </c>
      <c r="H24" s="2339"/>
      <c r="I24" s="2331">
        <f>'JAPANESE INCOME'!G144</f>
        <v>0</v>
      </c>
      <c r="J24" s="2332"/>
      <c r="K24" s="2332"/>
      <c r="L24" s="2333"/>
      <c r="M24" s="2322">
        <f>'JAPANESE INCOME'!H144</f>
        <v>0</v>
      </c>
      <c r="N24" s="2323"/>
      <c r="O24" s="2323"/>
      <c r="P24" s="2324"/>
      <c r="Q24" s="2690">
        <f>+'JAPANESE INCOME'!I144</f>
        <v>0</v>
      </c>
      <c r="R24" s="2691"/>
      <c r="S24" s="2691"/>
      <c r="T24" s="2692"/>
      <c r="U24" s="2322">
        <f>+'JAPANESE INCOME'!J144</f>
        <v>0</v>
      </c>
      <c r="V24" s="2323"/>
      <c r="W24" s="2323"/>
      <c r="X24" s="2324"/>
      <c r="Y24" s="2409"/>
      <c r="Z24" s="2410"/>
      <c r="AA24" s="2410"/>
      <c r="AB24" s="2411"/>
      <c r="AC24" s="391"/>
      <c r="AD24" s="391"/>
      <c r="AF24" s="391"/>
      <c r="AG24" s="391"/>
      <c r="AH24" s="391"/>
      <c r="AI24" s="391"/>
      <c r="AJ24" s="391"/>
      <c r="AK24" s="391"/>
    </row>
    <row r="25" spans="2:37" s="386" customFormat="1">
      <c r="B25" s="2355">
        <f>'JAPANESE INCOME'!D145</f>
        <v>0</v>
      </c>
      <c r="C25" s="2356"/>
      <c r="D25" s="2356"/>
      <c r="E25" s="2356"/>
      <c r="F25" s="2357"/>
      <c r="G25" s="2358">
        <f>+'JAPANESE INCOME'!F145</f>
        <v>0</v>
      </c>
      <c r="H25" s="2360"/>
      <c r="I25" s="2693">
        <f>'JAPANESE INCOME'!G145</f>
        <v>0</v>
      </c>
      <c r="J25" s="2694"/>
      <c r="K25" s="2694"/>
      <c r="L25" s="2695"/>
      <c r="M25" s="2364">
        <f>'JAPANESE INCOME'!H145</f>
        <v>0</v>
      </c>
      <c r="N25" s="2365"/>
      <c r="O25" s="2365"/>
      <c r="P25" s="2366"/>
      <c r="Q25" s="2696">
        <f>+'JAPANESE INCOME'!I145</f>
        <v>0</v>
      </c>
      <c r="R25" s="2697"/>
      <c r="S25" s="2697"/>
      <c r="T25" s="2698"/>
      <c r="U25" s="2364">
        <f>+'JAPANESE INCOME'!J145</f>
        <v>0</v>
      </c>
      <c r="V25" s="2365"/>
      <c r="W25" s="2365"/>
      <c r="X25" s="2366"/>
      <c r="Y25" s="2412"/>
      <c r="Z25" s="2413"/>
      <c r="AA25" s="2413"/>
      <c r="AB25" s="2414"/>
      <c r="AC25" s="391"/>
      <c r="AD25" s="391"/>
      <c r="AF25" s="391"/>
      <c r="AG25" s="391"/>
      <c r="AH25" s="391"/>
      <c r="AI25" s="391"/>
      <c r="AJ25" s="391"/>
      <c r="AK25" s="391"/>
    </row>
    <row r="26" spans="2:37" s="386" customFormat="1" ht="5.25" customHeight="1" thickBot="1">
      <c r="B26" s="1406"/>
      <c r="C26" s="1407"/>
      <c r="D26" s="1407"/>
      <c r="E26" s="1407"/>
      <c r="F26" s="1442"/>
      <c r="G26" s="1407"/>
      <c r="H26" s="1407"/>
      <c r="I26" s="1443"/>
      <c r="J26" s="1444"/>
      <c r="K26" s="1444"/>
      <c r="L26" s="1415"/>
      <c r="M26" s="1411"/>
      <c r="N26" s="1411"/>
      <c r="O26" s="1411"/>
      <c r="P26" s="1412"/>
      <c r="Q26" s="1445"/>
      <c r="R26" s="1411"/>
      <c r="S26" s="1411"/>
      <c r="T26" s="1417"/>
      <c r="U26" s="1416"/>
      <c r="V26" s="1416"/>
      <c r="W26" s="1416"/>
      <c r="X26" s="1417"/>
      <c r="Y26" s="1416"/>
      <c r="Z26" s="1416"/>
      <c r="AA26" s="1416"/>
      <c r="AB26" s="1418"/>
      <c r="AC26" s="391"/>
      <c r="AD26" s="391"/>
      <c r="AF26" s="391"/>
      <c r="AG26" s="391"/>
      <c r="AH26" s="391"/>
      <c r="AI26" s="391"/>
      <c r="AJ26" s="391"/>
      <c r="AK26" s="391"/>
    </row>
    <row r="27" spans="2:47" s="386" customFormat="1" ht="13" thickBot="1">
      <c r="B27" s="393" t="s">
        <v>478</v>
      </c>
      <c r="C27" s="394"/>
      <c r="D27" s="394"/>
      <c r="E27" s="394"/>
      <c r="F27" s="394"/>
      <c r="G27" s="394"/>
      <c r="H27" s="394"/>
      <c r="I27" s="2316">
        <f>SUM(I18:L26)</f>
        <v>0</v>
      </c>
      <c r="J27" s="2317"/>
      <c r="K27" s="2317"/>
      <c r="L27" s="2318"/>
      <c r="M27" s="2328">
        <f>SUM(M18:P26)</f>
        <v>0</v>
      </c>
      <c r="N27" s="2329"/>
      <c r="O27" s="2329"/>
      <c r="P27" s="2330"/>
      <c r="Q27" s="2316">
        <f>SUM(Q18:T26)</f>
        <v>0</v>
      </c>
      <c r="R27" s="2317"/>
      <c r="S27" s="2317"/>
      <c r="T27" s="2318"/>
      <c r="U27" s="2328">
        <f>SUM(U18:X26)</f>
        <v>0</v>
      </c>
      <c r="V27" s="2329"/>
      <c r="W27" s="2329"/>
      <c r="X27" s="2330"/>
      <c r="Y27" s="2328">
        <f>+'JAPANESE INCOME'!J149</f>
        <v>0</v>
      </c>
      <c r="Z27" s="2329"/>
      <c r="AA27" s="2329"/>
      <c r="AB27" s="2432"/>
      <c r="AC27" s="395"/>
      <c r="AD27" s="395"/>
      <c r="AF27" s="395"/>
      <c r="AG27" s="395"/>
      <c r="AH27" s="395"/>
      <c r="AI27" s="395"/>
      <c r="AJ27" s="395"/>
      <c r="AK27" s="395"/>
      <c r="AP27" s="392"/>
      <c r="AQ27" s="392"/>
      <c r="AR27" s="392"/>
      <c r="AS27" s="392"/>
      <c r="AT27" s="392"/>
      <c r="AU27" s="392"/>
    </row>
    <row r="28" spans="2:31" s="386" customFormat="1">
      <c r="B28" s="386" t="s">
        <v>1004</v>
      </c>
      <c r="C28" s="386"/>
      <c r="D28" s="386"/>
      <c r="E28" s="396"/>
      <c r="F28" s="396"/>
      <c r="H28" s="397"/>
      <c r="I28" s="396"/>
      <c r="K28" s="386"/>
      <c r="L28" s="386"/>
      <c r="M28" s="386"/>
      <c r="N28" s="386"/>
      <c r="O28" s="386"/>
      <c r="P28" s="386"/>
      <c r="Q28" s="386"/>
      <c r="R28" s="397"/>
      <c r="S28" s="397"/>
      <c r="T28" s="397"/>
      <c r="U28" s="397"/>
      <c r="V28" s="397"/>
      <c r="W28" s="386"/>
      <c r="X28" s="386"/>
      <c r="Z28" s="386"/>
      <c r="AA28" s="386"/>
      <c r="AB28" s="386"/>
      <c r="AC28" s="386"/>
      <c r="AD28" s="386"/>
      <c r="AE28" s="386"/>
    </row>
    <row r="29" spans="3:31" s="386" customFormat="1" ht="33" customHeight="1">
      <c r="C29" s="386"/>
      <c r="D29" s="386"/>
      <c r="E29" s="386"/>
      <c r="F29" s="386"/>
      <c r="G29" s="386"/>
      <c r="H29" s="398"/>
      <c r="I29" s="398"/>
      <c r="J29" s="398"/>
      <c r="K29" s="398"/>
      <c r="L29" s="391"/>
      <c r="M29" s="391"/>
      <c r="N29" s="391"/>
      <c r="O29" s="391"/>
      <c r="P29" s="398"/>
      <c r="Q29" s="398"/>
      <c r="R29" s="398"/>
      <c r="S29" s="398"/>
      <c r="T29" s="391"/>
      <c r="U29" s="398"/>
      <c r="V29" s="398"/>
      <c r="W29" s="398"/>
      <c r="X29" s="398"/>
      <c r="Y29" s="398"/>
      <c r="Z29" s="398"/>
      <c r="AA29" s="398"/>
      <c r="AB29" s="398"/>
      <c r="AC29" s="391"/>
      <c r="AD29" s="391"/>
      <c r="AE29" s="391"/>
    </row>
    <row r="30" spans="2:36" ht="20">
      <c r="B30" s="399" t="s">
        <v>481</v>
      </c>
      <c r="G30" s="400"/>
      <c r="H30" s="400"/>
      <c r="I30" s="400"/>
      <c r="J30" s="400"/>
      <c r="K30" s="400"/>
      <c r="L30" s="400"/>
      <c r="M30" s="400"/>
      <c r="N30" s="400"/>
      <c r="O30" s="400"/>
      <c r="P30" s="400"/>
      <c r="Q30" s="400"/>
      <c r="R30" s="400"/>
      <c r="S30" s="400"/>
      <c r="T30" s="400"/>
      <c r="U30" s="398"/>
      <c r="V30" s="398"/>
      <c r="W30" s="398"/>
      <c r="X30" s="398"/>
      <c r="Y30" s="398"/>
      <c r="Z30" s="398"/>
      <c r="AA30" s="398"/>
      <c r="AB30" s="398"/>
      <c r="AC30" s="400"/>
      <c r="AD30" s="400"/>
      <c r="AE30" s="400"/>
      <c r="AF30" s="400"/>
      <c r="AG30" s="400"/>
      <c r="AH30" s="400"/>
      <c r="AI30" s="400"/>
      <c r="AJ30" s="400"/>
    </row>
    <row r="31" spans="8:36" ht="10.15" customHeight="1">
      <c r="H31" s="400"/>
      <c r="I31" s="400"/>
      <c r="J31" s="400"/>
      <c r="K31" s="400"/>
      <c r="L31" s="400"/>
      <c r="M31" s="400"/>
      <c r="N31" s="400"/>
      <c r="O31" s="400"/>
      <c r="P31" s="400"/>
      <c r="Q31" s="400"/>
      <c r="R31" s="400"/>
      <c r="S31" s="400"/>
      <c r="T31" s="400"/>
      <c r="U31" s="400"/>
      <c r="V31" s="400"/>
      <c r="W31" s="400"/>
      <c r="X31" s="400"/>
      <c r="Y31" s="400"/>
      <c r="Z31" s="400"/>
      <c r="AA31" s="400"/>
      <c r="AB31" s="400"/>
      <c r="AC31" s="400"/>
      <c r="AD31" s="400"/>
      <c r="AE31" s="400"/>
      <c r="AF31" s="400"/>
      <c r="AG31" s="400"/>
      <c r="AH31" s="400"/>
      <c r="AI31" s="400"/>
      <c r="AJ31" s="400"/>
    </row>
    <row r="32" spans="8:31" ht="13" thickBot="1">
      <c r="H32" s="400"/>
      <c r="I32" s="400"/>
      <c r="J32" s="400"/>
      <c r="K32" s="400"/>
      <c r="L32" s="400"/>
      <c r="M32" s="400"/>
      <c r="N32" s="400"/>
      <c r="O32" s="400"/>
      <c r="P32" s="400"/>
      <c r="Q32" s="400"/>
      <c r="R32" s="400"/>
      <c r="S32" s="400"/>
      <c r="T32" s="400"/>
      <c r="U32" s="400"/>
      <c r="V32" s="400"/>
      <c r="W32" s="400"/>
      <c r="X32" s="400"/>
      <c r="Y32" s="400"/>
      <c r="Z32" s="400"/>
      <c r="AA32" s="400"/>
      <c r="AB32" s="400"/>
      <c r="AC32" s="400"/>
      <c r="AD32" s="400"/>
      <c r="AE32" s="400"/>
    </row>
    <row r="33" spans="2:42" s="386" customFormat="1" ht="17.5" customHeight="1" thickBot="1">
      <c r="B33" s="2380" t="s">
        <v>504</v>
      </c>
      <c r="C33" s="2381"/>
      <c r="D33" s="2381"/>
      <c r="E33" s="2381"/>
      <c r="F33" s="2381"/>
      <c r="G33" s="2382"/>
      <c r="H33" s="2389" t="s">
        <v>505</v>
      </c>
      <c r="I33" s="2381"/>
      <c r="J33" s="2382"/>
      <c r="K33" s="2370" t="s">
        <v>999</v>
      </c>
      <c r="L33" s="2371"/>
      <c r="M33" s="2371"/>
      <c r="N33" s="2371"/>
      <c r="O33" s="2371"/>
      <c r="P33" s="2371"/>
      <c r="Q33" s="2371"/>
      <c r="R33" s="2372"/>
      <c r="S33" s="2346" t="s">
        <v>1005</v>
      </c>
      <c r="T33" s="2347"/>
      <c r="U33" s="2347"/>
      <c r="V33" s="2347"/>
      <c r="W33" s="2347"/>
      <c r="X33" s="2347"/>
      <c r="Y33" s="2347"/>
      <c r="Z33" s="2347"/>
      <c r="AA33" s="2347"/>
      <c r="AB33" s="2400"/>
      <c r="AC33" s="388"/>
      <c r="AD33" s="388"/>
      <c r="AE33" s="388"/>
      <c r="AF33" s="388"/>
      <c r="AG33" s="389"/>
      <c r="AH33" s="389"/>
      <c r="AI33" s="389"/>
      <c r="AJ33" s="389"/>
      <c r="AK33" s="389"/>
      <c r="AL33" s="389"/>
      <c r="AM33" s="389"/>
      <c r="AN33" s="389"/>
      <c r="AO33" s="389"/>
      <c r="AP33" s="389"/>
    </row>
    <row r="34" spans="2:42" s="386" customFormat="1" ht="27" customHeight="1" thickBot="1">
      <c r="B34" s="2383"/>
      <c r="C34" s="2350"/>
      <c r="D34" s="2350"/>
      <c r="E34" s="2350"/>
      <c r="F34" s="2350"/>
      <c r="G34" s="2351"/>
      <c r="H34" s="2349"/>
      <c r="I34" s="2350"/>
      <c r="J34" s="2351"/>
      <c r="K34" s="2370" t="s">
        <v>1000</v>
      </c>
      <c r="L34" s="2371"/>
      <c r="M34" s="2371"/>
      <c r="N34" s="2372"/>
      <c r="O34" s="2371" t="s">
        <v>1001</v>
      </c>
      <c r="P34" s="2371"/>
      <c r="Q34" s="2371"/>
      <c r="R34" s="2372"/>
      <c r="S34" s="2401" t="s">
        <v>1006</v>
      </c>
      <c r="T34" s="2402"/>
      <c r="U34" s="2402"/>
      <c r="V34" s="2402"/>
      <c r="W34" s="2403"/>
      <c r="X34" s="2402" t="s">
        <v>1007</v>
      </c>
      <c r="Y34" s="2402"/>
      <c r="Z34" s="2402"/>
      <c r="AA34" s="2402"/>
      <c r="AB34" s="2404"/>
      <c r="AC34" s="388"/>
      <c r="AD34" s="388"/>
      <c r="AE34" s="388"/>
      <c r="AF34" s="388"/>
      <c r="AG34" s="389"/>
      <c r="AH34" s="389"/>
      <c r="AI34" s="389"/>
      <c r="AJ34" s="389"/>
      <c r="AK34" s="389"/>
      <c r="AL34" s="389"/>
      <c r="AM34" s="389"/>
      <c r="AN34" s="389"/>
      <c r="AO34" s="389"/>
      <c r="AP34" s="389"/>
    </row>
    <row r="35" spans="2:32" s="386" customFormat="1" ht="6" customHeight="1">
      <c r="B35" s="1399"/>
      <c r="C35" s="1400"/>
      <c r="D35" s="1400"/>
      <c r="E35" s="1400"/>
      <c r="F35" s="1400"/>
      <c r="G35" s="1400"/>
      <c r="H35" s="1401"/>
      <c r="I35" s="1400"/>
      <c r="J35" s="1400"/>
      <c r="K35" s="1401"/>
      <c r="L35" s="1400"/>
      <c r="M35" s="1446"/>
      <c r="N35" s="1447"/>
      <c r="O35" s="1446"/>
      <c r="P35" s="1446"/>
      <c r="Q35" s="1446"/>
      <c r="R35" s="1447"/>
      <c r="S35" s="2405"/>
      <c r="T35" s="2405"/>
      <c r="U35" s="2405"/>
      <c r="V35" s="2405"/>
      <c r="W35" s="2405"/>
      <c r="X35" s="2406"/>
      <c r="Y35" s="2405"/>
      <c r="Z35" s="2405"/>
      <c r="AA35" s="2405"/>
      <c r="AB35" s="2407"/>
      <c r="AC35" s="390"/>
      <c r="AD35" s="390"/>
      <c r="AE35" s="390"/>
      <c r="AF35" s="390"/>
    </row>
    <row r="36" spans="2:32" s="386" customFormat="1">
      <c r="B36" s="2376">
        <f>'JAPANESE INCOME'!D156</f>
        <v>0</v>
      </c>
      <c r="C36" s="2377"/>
      <c r="D36" s="2377"/>
      <c r="E36" s="2377"/>
      <c r="F36" s="2377"/>
      <c r="G36" s="2378"/>
      <c r="H36" s="2337">
        <f>'JAPANESE INCOME'!F156</f>
        <v>0</v>
      </c>
      <c r="I36" s="2338"/>
      <c r="J36" s="2339"/>
      <c r="K36" s="2331">
        <f>+'JAPANESE INCOME'!G156</f>
        <v>0</v>
      </c>
      <c r="L36" s="2332"/>
      <c r="M36" s="2332"/>
      <c r="N36" s="2333"/>
      <c r="O36" s="2322">
        <f>+'JAPANESE INCOME'!H156</f>
        <v>0</v>
      </c>
      <c r="P36" s="2323"/>
      <c r="Q36" s="2323"/>
      <c r="R36" s="2324"/>
      <c r="S36" s="2379">
        <f>+'JAPANESE INCOME'!I156</f>
        <v>0</v>
      </c>
      <c r="T36" s="2379"/>
      <c r="U36" s="2379"/>
      <c r="V36" s="2379"/>
      <c r="W36" s="2379"/>
      <c r="X36" s="2324">
        <f>+'JAPANESE INCOME'!J156</f>
        <v>0</v>
      </c>
      <c r="Y36" s="2379"/>
      <c r="Z36" s="2379"/>
      <c r="AA36" s="2379"/>
      <c r="AB36" s="2393"/>
      <c r="AC36" s="386"/>
      <c r="AD36" s="386"/>
      <c r="AE36" s="386"/>
      <c r="AF36" s="386"/>
    </row>
    <row r="37" spans="2:32" s="386" customFormat="1">
      <c r="B37" s="2376">
        <f>'JAPANESE INCOME'!D157</f>
        <v>0</v>
      </c>
      <c r="C37" s="2377"/>
      <c r="D37" s="2377"/>
      <c r="E37" s="2377"/>
      <c r="F37" s="2377"/>
      <c r="G37" s="2378"/>
      <c r="H37" s="2337">
        <f>'JAPANESE INCOME'!F157</f>
        <v>0</v>
      </c>
      <c r="I37" s="2338"/>
      <c r="J37" s="2339"/>
      <c r="K37" s="2331">
        <f>+'JAPANESE INCOME'!G157</f>
        <v>0</v>
      </c>
      <c r="L37" s="2332"/>
      <c r="M37" s="2332"/>
      <c r="N37" s="2333"/>
      <c r="O37" s="2322">
        <f>+'JAPANESE INCOME'!H157</f>
        <v>0</v>
      </c>
      <c r="P37" s="2323"/>
      <c r="Q37" s="2323"/>
      <c r="R37" s="2324"/>
      <c r="S37" s="2379">
        <f>+'JAPANESE INCOME'!I157</f>
        <v>0</v>
      </c>
      <c r="T37" s="2379"/>
      <c r="U37" s="2379"/>
      <c r="V37" s="2379"/>
      <c r="W37" s="2379"/>
      <c r="X37" s="2324">
        <f>+'JAPANESE INCOME'!J157</f>
        <v>0</v>
      </c>
      <c r="Y37" s="2379"/>
      <c r="Z37" s="2379"/>
      <c r="AA37" s="2379"/>
      <c r="AB37" s="2393"/>
      <c r="AC37" s="391"/>
      <c r="AD37" s="391"/>
      <c r="AE37" s="391"/>
      <c r="AF37" s="391"/>
    </row>
    <row r="38" spans="2:32" s="386" customFormat="1">
      <c r="B38" s="2376">
        <f>'JAPANESE INCOME'!D158</f>
        <v>0</v>
      </c>
      <c r="C38" s="2377"/>
      <c r="D38" s="2377"/>
      <c r="E38" s="2377"/>
      <c r="F38" s="2377"/>
      <c r="G38" s="2378"/>
      <c r="H38" s="2337">
        <f>'JAPANESE INCOME'!F158</f>
        <v>0</v>
      </c>
      <c r="I38" s="2338"/>
      <c r="J38" s="2339"/>
      <c r="K38" s="2331">
        <f>+'JAPANESE INCOME'!G158</f>
        <v>0</v>
      </c>
      <c r="L38" s="2332"/>
      <c r="M38" s="2332"/>
      <c r="N38" s="2333"/>
      <c r="O38" s="2322">
        <f>+'JAPANESE INCOME'!H158</f>
        <v>0</v>
      </c>
      <c r="P38" s="2323"/>
      <c r="Q38" s="2323"/>
      <c r="R38" s="2324"/>
      <c r="S38" s="2379">
        <f>+'JAPANESE INCOME'!I158</f>
        <v>0</v>
      </c>
      <c r="T38" s="2379"/>
      <c r="U38" s="2379"/>
      <c r="V38" s="2379"/>
      <c r="W38" s="2379"/>
      <c r="X38" s="2324">
        <f>+'JAPANESE INCOME'!J158</f>
        <v>0</v>
      </c>
      <c r="Y38" s="2379"/>
      <c r="Z38" s="2379"/>
      <c r="AA38" s="2379"/>
      <c r="AB38" s="2393"/>
      <c r="AC38" s="391"/>
      <c r="AD38" s="391"/>
      <c r="AE38" s="391"/>
      <c r="AF38" s="391"/>
    </row>
    <row r="39" spans="2:32" s="386" customFormat="1">
      <c r="B39" s="2376">
        <f>'JAPANESE INCOME'!D159</f>
        <v>0</v>
      </c>
      <c r="C39" s="2377"/>
      <c r="D39" s="2377"/>
      <c r="E39" s="2377"/>
      <c r="F39" s="2377"/>
      <c r="G39" s="2378"/>
      <c r="H39" s="2337">
        <f>'JAPANESE INCOME'!F159</f>
        <v>0</v>
      </c>
      <c r="I39" s="2338"/>
      <c r="J39" s="2339"/>
      <c r="K39" s="2331">
        <f>+'JAPANESE INCOME'!G159</f>
        <v>0</v>
      </c>
      <c r="L39" s="2332"/>
      <c r="M39" s="2332"/>
      <c r="N39" s="2333"/>
      <c r="O39" s="2322">
        <f>+'JAPANESE INCOME'!H159</f>
        <v>0</v>
      </c>
      <c r="P39" s="2323"/>
      <c r="Q39" s="2323"/>
      <c r="R39" s="2324"/>
      <c r="S39" s="2379">
        <f>+'JAPANESE INCOME'!I159</f>
        <v>0</v>
      </c>
      <c r="T39" s="2379"/>
      <c r="U39" s="2379"/>
      <c r="V39" s="2379"/>
      <c r="W39" s="2379"/>
      <c r="X39" s="2324">
        <f>+'JAPANESE INCOME'!J159</f>
        <v>0</v>
      </c>
      <c r="Y39" s="2379"/>
      <c r="Z39" s="2379"/>
      <c r="AA39" s="2379"/>
      <c r="AB39" s="2393"/>
      <c r="AC39" s="391"/>
      <c r="AD39" s="391"/>
      <c r="AE39" s="391"/>
      <c r="AF39" s="391"/>
    </row>
    <row r="40" spans="2:32" s="386" customFormat="1">
      <c r="B40" s="2376">
        <f>'JAPANESE INCOME'!D160</f>
        <v>0</v>
      </c>
      <c r="C40" s="2377"/>
      <c r="D40" s="2377"/>
      <c r="E40" s="2377"/>
      <c r="F40" s="2377"/>
      <c r="G40" s="2378"/>
      <c r="H40" s="2337">
        <f>'JAPANESE INCOME'!F160</f>
        <v>0</v>
      </c>
      <c r="I40" s="2338"/>
      <c r="J40" s="2339"/>
      <c r="K40" s="2331">
        <f>+'JAPANESE INCOME'!G160</f>
        <v>0</v>
      </c>
      <c r="L40" s="2332"/>
      <c r="M40" s="2332"/>
      <c r="N40" s="2333"/>
      <c r="O40" s="2322">
        <f>+'JAPANESE INCOME'!H160</f>
        <v>0</v>
      </c>
      <c r="P40" s="2323"/>
      <c r="Q40" s="2323"/>
      <c r="R40" s="2324"/>
      <c r="S40" s="2379">
        <f>+'JAPANESE INCOME'!I160</f>
        <v>0</v>
      </c>
      <c r="T40" s="2379"/>
      <c r="U40" s="2379"/>
      <c r="V40" s="2379"/>
      <c r="W40" s="2379"/>
      <c r="X40" s="2324">
        <f>+'JAPANESE INCOME'!J160</f>
        <v>0</v>
      </c>
      <c r="Y40" s="2379"/>
      <c r="Z40" s="2379"/>
      <c r="AA40" s="2379"/>
      <c r="AB40" s="2393"/>
      <c r="AC40" s="391"/>
      <c r="AD40" s="391"/>
      <c r="AE40" s="391"/>
      <c r="AF40" s="391"/>
    </row>
    <row r="41" spans="2:32" s="386" customFormat="1" ht="7.5" customHeight="1" thickBot="1">
      <c r="B41" s="2394"/>
      <c r="C41" s="2395"/>
      <c r="D41" s="2395"/>
      <c r="E41" s="2395"/>
      <c r="F41" s="2395"/>
      <c r="G41" s="2396"/>
      <c r="H41" s="1448"/>
      <c r="I41" s="1449"/>
      <c r="J41" s="1449"/>
      <c r="K41" s="1448"/>
      <c r="L41" s="1449"/>
      <c r="M41" s="1450"/>
      <c r="N41" s="1451"/>
      <c r="O41" s="1450"/>
      <c r="P41" s="1450"/>
      <c r="Q41" s="1450"/>
      <c r="R41" s="1451"/>
      <c r="S41" s="2397"/>
      <c r="T41" s="2397"/>
      <c r="U41" s="2397"/>
      <c r="V41" s="2397"/>
      <c r="W41" s="2397"/>
      <c r="X41" s="2398"/>
      <c r="Y41" s="2397"/>
      <c r="Z41" s="2397"/>
      <c r="AA41" s="2397"/>
      <c r="AB41" s="2399"/>
      <c r="AC41" s="391"/>
      <c r="AD41" s="391"/>
      <c r="AE41" s="391"/>
      <c r="AF41" s="391"/>
    </row>
    <row r="42" spans="2:42" s="386" customFormat="1" ht="13" thickBot="1">
      <c r="B42" s="401" t="s">
        <v>464</v>
      </c>
      <c r="C42" s="402"/>
      <c r="D42" s="402"/>
      <c r="E42" s="402"/>
      <c r="F42" s="402"/>
      <c r="G42" s="402"/>
      <c r="H42" s="403"/>
      <c r="I42" s="402"/>
      <c r="J42" s="402"/>
      <c r="K42" s="2316">
        <f>+SUM(K36:N41)</f>
        <v>0</v>
      </c>
      <c r="L42" s="2317"/>
      <c r="M42" s="2317"/>
      <c r="N42" s="2318"/>
      <c r="O42" s="2328">
        <f>SUM(O35:R41)</f>
        <v>0</v>
      </c>
      <c r="P42" s="2329"/>
      <c r="Q42" s="2329"/>
      <c r="R42" s="2330"/>
      <c r="S42" s="2373">
        <f>SUM(S36:W41)</f>
        <v>0</v>
      </c>
      <c r="T42" s="2374"/>
      <c r="U42" s="2374"/>
      <c r="V42" s="2374"/>
      <c r="W42" s="2375"/>
      <c r="X42" s="2374">
        <f>SUM(X36:AB41)</f>
        <v>0</v>
      </c>
      <c r="Y42" s="2374"/>
      <c r="Z42" s="2374"/>
      <c r="AA42" s="2374"/>
      <c r="AB42" s="2388"/>
      <c r="AC42" s="395"/>
      <c r="AD42" s="395"/>
      <c r="AE42" s="395"/>
      <c r="AF42" s="395"/>
      <c r="AK42" s="392"/>
      <c r="AL42" s="392"/>
      <c r="AM42" s="392"/>
      <c r="AN42" s="392"/>
      <c r="AO42" s="392"/>
      <c r="AP42" s="392"/>
    </row>
    <row r="43" spans="5:28" s="378" customFormat="1">
      <c r="E43" s="2706"/>
      <c r="F43" s="2706"/>
      <c r="G43" s="2706"/>
      <c r="H43" s="2706"/>
      <c r="I43" s="2706"/>
      <c r="J43" s="2706"/>
      <c r="K43" s="2706"/>
      <c r="L43" s="2706"/>
      <c r="M43" s="2706"/>
      <c r="N43" s="2706"/>
      <c r="O43" s="2706"/>
      <c r="P43" s="2706"/>
      <c r="Q43" s="413"/>
      <c r="R43" s="413"/>
      <c r="S43" s="413"/>
      <c r="T43" s="413"/>
      <c r="U43" s="413"/>
      <c r="V43" s="413"/>
      <c r="W43" s="413"/>
      <c r="X43" s="413"/>
      <c r="Y43" s="413"/>
      <c r="Z43" s="413"/>
      <c r="AA43" s="413"/>
      <c r="AB43" s="413"/>
    </row>
    <row r="44" spans="3:27" s="407" customFormat="1" ht="24" customHeight="1">
      <c r="C44" s="404"/>
      <c r="D44" s="405"/>
      <c r="E44" s="405"/>
      <c r="F44" s="405"/>
      <c r="G44" s="405"/>
      <c r="H44" s="405"/>
      <c r="I44" s="405"/>
      <c r="J44" s="405"/>
      <c r="K44" s="405"/>
      <c r="L44" s="404"/>
      <c r="M44" s="404"/>
      <c r="N44" s="404"/>
      <c r="O44" s="404"/>
      <c r="P44" s="404"/>
      <c r="Q44" s="404"/>
      <c r="R44" s="404"/>
      <c r="S44" s="405"/>
      <c r="T44" s="405"/>
      <c r="U44" s="405"/>
      <c r="V44" s="405"/>
      <c r="W44" s="404"/>
      <c r="X44" s="406"/>
      <c r="Y44" s="406"/>
      <c r="Z44" s="406"/>
      <c r="AA44" s="406"/>
    </row>
    <row r="45" spans="3:27" s="407" customFormat="1" ht="24" customHeight="1">
      <c r="C45" s="404"/>
      <c r="D45" s="405"/>
      <c r="E45" s="405"/>
      <c r="F45" s="405"/>
      <c r="G45" s="405"/>
      <c r="H45" s="405"/>
      <c r="I45" s="405"/>
      <c r="J45" s="405"/>
      <c r="K45" s="405"/>
      <c r="L45" s="404"/>
      <c r="M45" s="404"/>
      <c r="N45" s="404"/>
      <c r="O45" s="404"/>
      <c r="P45" s="404"/>
      <c r="Q45" s="404"/>
      <c r="R45" s="404"/>
      <c r="S45" s="405"/>
      <c r="T45" s="405"/>
      <c r="U45" s="405"/>
      <c r="V45" s="405"/>
      <c r="W45" s="404"/>
      <c r="X45" s="406"/>
      <c r="Y45" s="406"/>
      <c r="Z45" s="406"/>
      <c r="AA45" s="406"/>
    </row>
    <row r="46" spans="3:30" ht="20">
      <c r="C46" s="399" t="s">
        <v>358</v>
      </c>
      <c r="D46" s="378"/>
      <c r="E46" s="378"/>
      <c r="X46" s="408"/>
      <c r="Y46" s="408"/>
      <c r="Z46" s="400"/>
      <c r="AA46" s="400"/>
      <c r="AB46" s="408"/>
      <c r="AD46" s="409"/>
    </row>
    <row r="47" spans="3:30" ht="20">
      <c r="C47" s="399" t="s">
        <v>359</v>
      </c>
      <c r="D47" s="378"/>
      <c r="E47" s="378"/>
      <c r="G47" s="399"/>
      <c r="H47" s="399"/>
      <c r="I47" s="2707" t="e">
        <f>'Attachment JP'!E91</f>
        <v>#VALUE!</v>
      </c>
      <c r="J47" s="2707"/>
      <c r="K47" s="399"/>
      <c r="AD47" s="409"/>
    </row>
    <row r="48" spans="26:30">
      <c r="Z48" s="400"/>
      <c r="AA48" s="400"/>
      <c r="AD48" s="409"/>
    </row>
    <row r="49" spans="3:30">
      <c r="C49" s="381" t="s">
        <v>456</v>
      </c>
      <c r="Z49" s="400"/>
      <c r="AA49" s="400"/>
      <c r="AD49" s="409"/>
    </row>
    <row r="50" spans="20:30">
      <c r="T50" s="410"/>
      <c r="U50" s="410"/>
      <c r="V50" s="410"/>
      <c r="W50" s="410"/>
      <c r="X50" s="410"/>
      <c r="Y50" s="410"/>
      <c r="Z50" s="411"/>
      <c r="AA50" s="411"/>
      <c r="AB50" s="410"/>
      <c r="AC50" s="410"/>
      <c r="AD50" s="409"/>
    </row>
    <row r="51" spans="4:30">
      <c r="D51" s="378" t="s">
        <v>378</v>
      </c>
      <c r="T51" s="413" t="e">
        <f>'Attachment JP'!T95</f>
        <v>#VALUE!</v>
      </c>
      <c r="U51" s="413"/>
      <c r="V51" s="413"/>
      <c r="W51" s="413"/>
      <c r="X51" s="413"/>
      <c r="Y51" s="413"/>
      <c r="Z51" s="413"/>
      <c r="AA51" s="413"/>
      <c r="AB51" s="412"/>
      <c r="AC51" s="410"/>
      <c r="AD51" s="409"/>
    </row>
    <row r="52" spans="4:30">
      <c r="D52" s="378" t="s">
        <v>379</v>
      </c>
      <c r="T52" s="413" t="e">
        <f>'Attachment JP'!T96</f>
        <v>#VALUE!</v>
      </c>
      <c r="U52" s="413"/>
      <c r="V52" s="413"/>
      <c r="W52" s="413"/>
      <c r="X52" s="413"/>
      <c r="Y52" s="413"/>
      <c r="Z52" s="413"/>
      <c r="AA52" s="413"/>
      <c r="AB52" s="412"/>
      <c r="AC52" s="410"/>
      <c r="AD52" s="409"/>
    </row>
    <row r="53" spans="4:30">
      <c r="D53" s="378" t="s">
        <v>380</v>
      </c>
      <c r="T53" s="2699" t="e">
        <f>'Attachment JP'!T97</f>
        <v>#VALUE!</v>
      </c>
      <c r="U53" s="2699"/>
      <c r="V53" s="2699"/>
      <c r="W53" s="2699"/>
      <c r="X53" s="413"/>
      <c r="Y53" s="413"/>
      <c r="Z53" s="413"/>
      <c r="AA53" s="413"/>
      <c r="AB53" s="412"/>
      <c r="AC53" s="410"/>
      <c r="AD53" s="409"/>
    </row>
    <row r="54" spans="4:30">
      <c r="D54" s="378" t="s">
        <v>357</v>
      </c>
      <c r="T54" s="413"/>
      <c r="U54" s="413"/>
      <c r="V54" s="413"/>
      <c r="W54" s="413"/>
      <c r="X54" s="413" t="e">
        <f>'Attachment JP'!X98:AA98</f>
        <v>#VALUE!</v>
      </c>
      <c r="Y54" s="413"/>
      <c r="Z54" s="413"/>
      <c r="AA54" s="413"/>
      <c r="AB54" s="412"/>
      <c r="AC54" s="410"/>
      <c r="AD54" s="409"/>
    </row>
    <row r="55" spans="20:30">
      <c r="T55" s="413"/>
      <c r="U55" s="413"/>
      <c r="V55" s="413"/>
      <c r="W55" s="413"/>
      <c r="X55" s="413"/>
      <c r="Y55" s="413"/>
      <c r="Z55" s="413"/>
      <c r="AA55" s="413"/>
      <c r="AB55" s="412"/>
      <c r="AC55" s="410"/>
      <c r="AD55" s="409"/>
    </row>
    <row r="56" spans="2:30">
      <c r="B56" s="381"/>
      <c r="C56" s="381" t="s">
        <v>360</v>
      </c>
      <c r="T56" s="413"/>
      <c r="U56" s="413"/>
      <c r="V56" s="413"/>
      <c r="W56" s="413"/>
      <c r="X56" s="2699" t="e">
        <f>'Attachment JP'!X100:AA100</f>
        <v>#VALUE!</v>
      </c>
      <c r="Y56" s="2699"/>
      <c r="Z56" s="2699"/>
      <c r="AA56" s="2699"/>
      <c r="AD56" s="409"/>
    </row>
    <row r="57" spans="2:30">
      <c r="B57" s="381"/>
      <c r="C57" s="381"/>
      <c r="T57" s="413"/>
      <c r="U57" s="413"/>
      <c r="V57" s="413"/>
      <c r="W57" s="413"/>
      <c r="X57" s="413"/>
      <c r="Y57" s="413"/>
      <c r="Z57" s="413"/>
      <c r="AA57" s="413"/>
      <c r="AD57" s="409"/>
    </row>
    <row r="58" spans="2:30">
      <c r="B58" s="381"/>
      <c r="C58" s="381" t="s">
        <v>457</v>
      </c>
      <c r="T58" s="413"/>
      <c r="U58" s="413"/>
      <c r="V58" s="413"/>
      <c r="W58" s="413"/>
      <c r="X58" s="413" t="e">
        <f>'Attachment JP'!X102:AA102</f>
        <v>#VALUE!</v>
      </c>
      <c r="Y58" s="413"/>
      <c r="Z58" s="413"/>
      <c r="AA58" s="413"/>
      <c r="AD58" s="409"/>
    </row>
    <row r="59" spans="2:30">
      <c r="B59" s="381"/>
      <c r="C59" s="381"/>
      <c r="AD59" s="409"/>
    </row>
    <row r="60" spans="3:30">
      <c r="C60" s="381" t="s">
        <v>361</v>
      </c>
      <c r="D60" s="414"/>
      <c r="X60" s="413" t="e">
        <f>'Attachment JP'!X104:AA104</f>
        <v>#VALUE!</v>
      </c>
      <c r="Y60" s="413"/>
      <c r="Z60" s="413"/>
      <c r="AA60" s="413"/>
      <c r="AD60" s="409"/>
    </row>
    <row r="61" spans="3:30">
      <c r="C61" s="381"/>
      <c r="D61" s="414"/>
      <c r="AD61" s="409"/>
    </row>
    <row r="62" spans="3:30">
      <c r="C62" s="381" t="s">
        <v>452</v>
      </c>
      <c r="D62" s="414"/>
      <c r="X62" s="413">
        <f>'Attachment JP'!X106:AA106</f>
        <v>0</v>
      </c>
      <c r="Y62" s="413"/>
      <c r="Z62" s="413"/>
      <c r="AA62" s="413"/>
      <c r="AD62" s="409"/>
    </row>
    <row r="63" spans="2:30">
      <c r="B63" s="404"/>
      <c r="C63" s="378"/>
      <c r="X63" s="2699"/>
      <c r="Y63" s="2699"/>
      <c r="Z63" s="2699"/>
      <c r="AA63" s="2699"/>
      <c r="AD63" s="409"/>
    </row>
    <row r="64" spans="2:30">
      <c r="B64" s="381"/>
      <c r="C64" s="381" t="s">
        <v>362</v>
      </c>
      <c r="D64" s="414"/>
      <c r="X64" s="2700" t="e">
        <f>'Attachment JP'!X108:AA108</f>
        <v>#VALUE!</v>
      </c>
      <c r="Y64" s="2700"/>
      <c r="Z64" s="2700"/>
      <c r="AA64" s="2700"/>
      <c r="AD64" s="409"/>
    </row>
    <row r="65" spans="3:30">
      <c r="C65" s="381"/>
      <c r="D65" s="414"/>
      <c r="X65" s="2700"/>
      <c r="Y65" s="2700"/>
      <c r="Z65" s="2700"/>
      <c r="AA65" s="2700"/>
      <c r="AD65" s="409"/>
    </row>
    <row r="66" spans="3:30">
      <c r="C66" s="381" t="s">
        <v>363</v>
      </c>
      <c r="X66" s="413" t="e">
        <f>'Attachment JP'!X110:AA110</f>
        <v>#VALUE!</v>
      </c>
      <c r="Y66" s="413"/>
      <c r="Z66" s="413"/>
      <c r="AA66" s="413"/>
      <c r="AD66" s="409"/>
    </row>
    <row r="67" spans="3:30">
      <c r="C67" s="378"/>
      <c r="X67" s="413"/>
      <c r="Y67" s="413"/>
      <c r="Z67" s="413"/>
      <c r="AA67" s="413"/>
      <c r="AD67" s="409"/>
    </row>
    <row r="68" spans="3:30">
      <c r="C68" s="381" t="s">
        <v>364</v>
      </c>
      <c r="X68" s="413"/>
      <c r="Y68" s="413"/>
      <c r="Z68" s="413"/>
      <c r="AA68" s="413"/>
      <c r="AD68" s="409"/>
    </row>
    <row r="69" spans="4:30">
      <c r="D69" s="381" t="s">
        <v>453</v>
      </c>
      <c r="X69" s="413" t="e">
        <f>'Attachment JP'!X113:AA113</f>
        <v>#VALUE!</v>
      </c>
      <c r="Y69" s="413"/>
      <c r="Z69" s="413"/>
      <c r="AA69" s="413"/>
      <c r="AD69" s="409"/>
    </row>
    <row r="70" spans="3:30">
      <c r="C70" s="378"/>
      <c r="X70" s="2699"/>
      <c r="Y70" s="2699"/>
      <c r="Z70" s="2699"/>
      <c r="AA70" s="2699"/>
      <c r="AD70" s="409"/>
    </row>
    <row r="71" spans="3:30">
      <c r="C71" s="381" t="s">
        <v>365</v>
      </c>
      <c r="X71" s="2700" t="e">
        <f>'Attachment JP'!X115:AA115</f>
        <v>#VALUE!</v>
      </c>
      <c r="Y71" s="2700"/>
      <c r="Z71" s="2700"/>
      <c r="AA71" s="2700"/>
      <c r="AD71" s="409"/>
    </row>
    <row r="72" spans="3:30">
      <c r="C72" s="378"/>
      <c r="X72" s="413"/>
      <c r="Y72" s="413"/>
      <c r="Z72" s="413"/>
      <c r="AA72" s="413"/>
      <c r="AD72" s="409"/>
    </row>
    <row r="73" spans="3:30">
      <c r="C73" s="381" t="s">
        <v>366</v>
      </c>
      <c r="X73" s="2701">
        <f>'Attachment JP'!X117:AA117</f>
        <v>0</v>
      </c>
      <c r="Y73" s="2701"/>
      <c r="Z73" s="2701"/>
      <c r="AA73" s="2701"/>
      <c r="AD73" s="409"/>
    </row>
    <row r="74" spans="3:30">
      <c r="C74" s="378"/>
      <c r="X74" s="2699"/>
      <c r="Y74" s="2699"/>
      <c r="Z74" s="2699"/>
      <c r="AA74" s="2699"/>
      <c r="AD74" s="409"/>
    </row>
    <row r="75" spans="3:30" ht="13" thickBot="1">
      <c r="C75" s="378"/>
      <c r="X75" s="413"/>
      <c r="Y75" s="413"/>
      <c r="Z75" s="413"/>
      <c r="AA75" s="413"/>
      <c r="AD75" s="409"/>
    </row>
    <row r="76" spans="3:30" ht="13" thickBot="1">
      <c r="C76" s="404" t="e">
        <f>IF(OR('GENERAL INFO'!W55="X",AND(T53=X56,T53&gt;0)),"JUMLAH SETORAN PPh PASAL 25 PER BULAN **)","JUMLAH SETORAN PPh PASAL 25 PER BULAN")</f>
        <v>#VALUE!</v>
      </c>
      <c r="D76" s="407"/>
      <c r="E76" s="407"/>
      <c r="F76" s="407"/>
      <c r="G76" s="407"/>
      <c r="H76" s="407"/>
      <c r="I76" s="407"/>
      <c r="J76" s="407"/>
      <c r="K76" s="407"/>
      <c r="L76" s="407"/>
      <c r="M76" s="407"/>
      <c r="N76" s="407"/>
      <c r="O76" s="407"/>
      <c r="P76" s="407"/>
      <c r="Q76" s="407"/>
      <c r="R76" s="407"/>
      <c r="S76" s="407"/>
      <c r="T76" s="407"/>
      <c r="U76" s="407"/>
      <c r="V76" s="407"/>
      <c r="W76" s="407"/>
      <c r="X76" s="2702" t="e">
        <f>'Attachment JP'!X120:AA120</f>
        <v>#VALUE!</v>
      </c>
      <c r="Y76" s="2703"/>
      <c r="Z76" s="2703"/>
      <c r="AA76" s="2704"/>
      <c r="AD76" s="409"/>
    </row>
    <row r="77" spans="24:30">
      <c r="X77" s="413"/>
      <c r="Y77" s="413"/>
      <c r="Z77" s="413"/>
      <c r="AA77" s="413"/>
      <c r="AB77" s="407"/>
      <c r="AC77" s="407"/>
      <c r="AD77" s="415"/>
    </row>
    <row r="78" spans="3:30">
      <c r="C78" s="414" t="str">
        <f>IF(ISBLANK(dateofdeparture)=True,"*)  Tidak termasuk yang dikenai PPh final dan penghasilan yang bukan obyek pajak","*)   Sebagaimana terlihat pada EPO terlampir, saya meninggalkan Indonesia pada "&amp;TEXT(dateofdeparture,"dd/mm/yy")&amp;" "&amp;" sehingga PPh 25 saya NIHIL")</f>
        <v>*)  Tidak termasuk yang dikenai PPh final dan penghasilan yang bukan obyek pajak</v>
      </c>
      <c r="AD78" s="409"/>
    </row>
    <row r="79" spans="3:31" ht="42.75" customHeight="1">
      <c r="C79" s="2712" t="str">
        <f>IF('GENERAL INFO'!W55="X",AE79,AE80)</f>
        <v>**) Saya telah menghitung PPh 25 diatas berdasarkan KEP 537/PJ/2000. </v>
      </c>
      <c r="D79" s="2712"/>
      <c r="E79" s="2712"/>
      <c r="F79" s="2712"/>
      <c r="G79" s="2712"/>
      <c r="H79" s="2712"/>
      <c r="I79" s="2712"/>
      <c r="J79" s="2712"/>
      <c r="K79" s="2712"/>
      <c r="L79" s="2712"/>
      <c r="M79" s="2712"/>
      <c r="N79" s="2712"/>
      <c r="O79" s="2712"/>
      <c r="P79" s="2712"/>
      <c r="Q79" s="2712"/>
      <c r="R79" s="2712"/>
      <c r="S79" s="2712"/>
      <c r="T79" s="2712"/>
      <c r="U79" s="2712"/>
      <c r="V79" s="2712"/>
      <c r="W79" s="2712"/>
      <c r="X79" s="2712"/>
      <c r="Y79" s="2712"/>
      <c r="Z79" s="2712"/>
      <c r="AA79" s="2712"/>
      <c r="AB79" s="2712"/>
      <c r="AD79" s="409"/>
      <c r="AE79" s="378" t="str">
        <f>IF('GENERAL INFO'!W55="X","**)  Perhitungan PPh 25 untuk tahun "&amp;(taxyear+1)&amp;" "&amp;" adalah Nihil, karena SPT PPh Tahun "&amp;(taxyear)&amp;" "&amp;"telah saya laporkan bersamaan dengan SPT PPh Tahun "&amp;(taxyear+1)&amp;" "&amp;" (KEP-28/PJ.41/1993).","")</f>
        <v/>
      </c>
    </row>
    <row r="80" spans="2:55">
      <c r="B80" s="404"/>
      <c r="C80" s="404"/>
      <c r="D80" s="404"/>
      <c r="E80" s="404"/>
      <c r="F80" s="404"/>
      <c r="G80" s="404"/>
      <c r="H80" s="404"/>
      <c r="I80" s="404"/>
      <c r="J80" s="404"/>
      <c r="K80" s="404"/>
      <c r="L80" s="404"/>
      <c r="M80" s="404"/>
      <c r="N80" s="404"/>
      <c r="O80" s="404"/>
      <c r="P80" s="404"/>
      <c r="Q80" s="404"/>
      <c r="R80" s="404"/>
      <c r="S80" s="404"/>
      <c r="T80" s="404"/>
      <c r="U80" s="404"/>
      <c r="V80" s="416"/>
      <c r="W80" s="417"/>
      <c r="X80" s="417"/>
      <c r="Y80" s="417"/>
      <c r="Z80" s="407"/>
      <c r="AA80" s="407"/>
      <c r="AE80" s="378" t="s">
        <v>1325</v>
      </c>
      <c r="AG80" s="378"/>
      <c r="AH80" s="378"/>
      <c r="AI80" s="378"/>
      <c r="AJ80" s="378"/>
      <c r="AK80" s="378"/>
      <c r="AL80" s="378"/>
      <c r="AM80" s="378"/>
      <c r="AN80" s="378"/>
      <c r="AO80" s="378"/>
      <c r="AP80" s="378"/>
      <c r="AQ80" s="378"/>
      <c r="AR80" s="378"/>
      <c r="AS80" s="378"/>
      <c r="AT80" s="378"/>
      <c r="AU80" s="378"/>
      <c r="AV80" s="378"/>
      <c r="AW80" s="378"/>
      <c r="AX80" s="378"/>
      <c r="AY80" s="378"/>
      <c r="AZ80" s="378"/>
      <c r="BA80" s="378"/>
      <c r="BB80" s="378"/>
      <c r="BC80" s="378"/>
    </row>
    <row r="82" spans="1:30" ht="20">
      <c r="A82" s="399" t="s">
        <v>923</v>
      </c>
      <c r="AC82" s="409"/>
      <c r="AD82" s="409"/>
    </row>
    <row r="83" spans="29:30">
      <c r="AC83" s="409"/>
      <c r="AD83" s="409"/>
    </row>
    <row r="84" spans="1:1" ht="14">
      <c r="A84" s="596" t="s">
        <v>428</v>
      </c>
    </row>
    <row r="85" ht="13" thickBot="1"/>
    <row r="86" spans="1:29" s="407" customFormat="1" ht="28.15" customHeight="1">
      <c r="A86" s="618" t="s">
        <v>223</v>
      </c>
      <c r="B86" s="2708" t="s">
        <v>924</v>
      </c>
      <c r="C86" s="2709"/>
      <c r="D86" s="2708" t="s">
        <v>925</v>
      </c>
      <c r="E86" s="2710"/>
      <c r="F86" s="2710"/>
      <c r="G86" s="2710"/>
      <c r="H86" s="2710"/>
      <c r="I86" s="2710"/>
      <c r="J86" s="2710"/>
      <c r="K86" s="2710"/>
      <c r="L86" s="2710"/>
      <c r="M86" s="2710"/>
      <c r="N86" s="2709"/>
      <c r="O86" s="2708" t="s">
        <v>926</v>
      </c>
      <c r="P86" s="2710"/>
      <c r="Q86" s="2710"/>
      <c r="R86" s="2709"/>
      <c r="S86" s="2708" t="s">
        <v>927</v>
      </c>
      <c r="T86" s="2710"/>
      <c r="U86" s="2710"/>
      <c r="V86" s="2710"/>
      <c r="W86" s="2709"/>
      <c r="X86" s="2708" t="s">
        <v>928</v>
      </c>
      <c r="Y86" s="2710"/>
      <c r="Z86" s="2710"/>
      <c r="AA86" s="2710"/>
      <c r="AB86" s="2710"/>
      <c r="AC86" s="2711"/>
    </row>
    <row r="87" spans="1:29" s="597" customFormat="1" ht="15.65" customHeight="1" thickBot="1">
      <c r="A87" s="619" t="s">
        <v>65</v>
      </c>
      <c r="B87" s="1452" t="s">
        <v>64</v>
      </c>
      <c r="C87" s="1758"/>
      <c r="D87" s="1452" t="s">
        <v>66</v>
      </c>
      <c r="E87" s="2713"/>
      <c r="F87" s="2713"/>
      <c r="G87" s="2713"/>
      <c r="H87" s="2713"/>
      <c r="I87" s="2713"/>
      <c r="J87" s="2713"/>
      <c r="K87" s="2713"/>
      <c r="L87" s="2713"/>
      <c r="M87" s="2713"/>
      <c r="N87" s="1758"/>
      <c r="O87" s="1452" t="s">
        <v>67</v>
      </c>
      <c r="P87" s="2713"/>
      <c r="Q87" s="2713"/>
      <c r="R87" s="1758"/>
      <c r="S87" s="1452" t="s">
        <v>68</v>
      </c>
      <c r="T87" s="2713"/>
      <c r="U87" s="2713"/>
      <c r="V87" s="2713"/>
      <c r="W87" s="1758"/>
      <c r="X87" s="1452" t="s">
        <v>100</v>
      </c>
      <c r="Y87" s="2713"/>
      <c r="Z87" s="2713"/>
      <c r="AA87" s="2713"/>
      <c r="AB87" s="2713"/>
      <c r="AC87" s="2714"/>
    </row>
    <row r="88" spans="1:29">
      <c r="A88" s="598">
        <v>1</v>
      </c>
      <c r="B88" s="2715" t="str">
        <f ca="1">'A &amp; L INFO'!R8</f>
        <v/>
      </c>
      <c r="C88" s="2716"/>
      <c r="D88" s="2717" t="str">
        <f ca="1">'A &amp; L INFO'!T8</f>
        <v/>
      </c>
      <c r="E88" s="2718"/>
      <c r="F88" s="2718"/>
      <c r="G88" s="2718"/>
      <c r="H88" s="2718"/>
      <c r="I88" s="2718"/>
      <c r="J88" s="2718"/>
      <c r="K88" s="2718"/>
      <c r="L88" s="2718"/>
      <c r="M88" s="2718"/>
      <c r="N88" s="2718"/>
      <c r="O88" s="2307" t="str">
        <f ca="1">IF('A &amp; L INFO'!V8&lt;&gt;"",'A &amp; L INFO'!V8,"")</f>
        <v/>
      </c>
      <c r="P88" s="2308"/>
      <c r="Q88" s="2308"/>
      <c r="R88" s="2309"/>
      <c r="S88" s="2719" t="str">
        <f ca="1">'A &amp; L INFO'!U8</f>
        <v/>
      </c>
      <c r="T88" s="2719"/>
      <c r="U88" s="2719"/>
      <c r="V88" s="2719"/>
      <c r="W88" s="2720"/>
      <c r="X88" s="599"/>
      <c r="Y88" s="378"/>
      <c r="Z88" s="378"/>
      <c r="AA88" s="378"/>
      <c r="AB88" s="378"/>
      <c r="AC88" s="600"/>
    </row>
    <row r="89" spans="1:29">
      <c r="A89" s="598">
        <v>2</v>
      </c>
      <c r="B89" s="2721" t="str">
        <f ca="1">'A &amp; L INFO'!R9</f>
        <v/>
      </c>
      <c r="C89" s="2722"/>
      <c r="D89" s="2723" t="str">
        <f ca="1">'A &amp; L INFO'!T9</f>
        <v/>
      </c>
      <c r="E89" s="2724"/>
      <c r="F89" s="2724"/>
      <c r="G89" s="2724"/>
      <c r="H89" s="2724"/>
      <c r="I89" s="2724"/>
      <c r="J89" s="2724"/>
      <c r="K89" s="2724"/>
      <c r="L89" s="2724"/>
      <c r="M89" s="2724"/>
      <c r="N89" s="2724"/>
      <c r="O89" s="2307" t="str">
        <f ca="1">IF('A &amp; L INFO'!V9&lt;&gt;"",'A &amp; L INFO'!V9,"")</f>
        <v/>
      </c>
      <c r="P89" s="2308"/>
      <c r="Q89" s="2308"/>
      <c r="R89" s="2309"/>
      <c r="S89" s="2725" t="str">
        <f ca="1">'A &amp; L INFO'!U9</f>
        <v/>
      </c>
      <c r="T89" s="2725"/>
      <c r="U89" s="2725"/>
      <c r="V89" s="2725"/>
      <c r="W89" s="2726"/>
      <c r="X89" s="599"/>
      <c r="Y89" s="378"/>
      <c r="Z89" s="378"/>
      <c r="AA89" s="378"/>
      <c r="AB89" s="378"/>
      <c r="AC89" s="600"/>
    </row>
    <row r="90" spans="1:29">
      <c r="A90" s="598">
        <v>3</v>
      </c>
      <c r="B90" s="2721" t="str">
        <f ca="1">'A &amp; L INFO'!R10</f>
        <v/>
      </c>
      <c r="C90" s="2722"/>
      <c r="D90" s="2723" t="str">
        <f ca="1">'A &amp; L INFO'!T10</f>
        <v/>
      </c>
      <c r="E90" s="2724"/>
      <c r="F90" s="2724"/>
      <c r="G90" s="2724"/>
      <c r="H90" s="2724"/>
      <c r="I90" s="2724"/>
      <c r="J90" s="2724"/>
      <c r="K90" s="2724"/>
      <c r="L90" s="2724"/>
      <c r="M90" s="2724"/>
      <c r="N90" s="2724"/>
      <c r="O90" s="2307" t="str">
        <f ca="1">IF('A &amp; L INFO'!V10&lt;&gt;"",'A &amp; L INFO'!V10,"")</f>
        <v/>
      </c>
      <c r="P90" s="2308"/>
      <c r="Q90" s="2308"/>
      <c r="R90" s="2309"/>
      <c r="S90" s="2725" t="str">
        <f ca="1">'A &amp; L INFO'!U10</f>
        <v/>
      </c>
      <c r="T90" s="2725"/>
      <c r="U90" s="2725"/>
      <c r="V90" s="2725"/>
      <c r="W90" s="2726"/>
      <c r="X90" s="599"/>
      <c r="Y90" s="378"/>
      <c r="Z90" s="378"/>
      <c r="AA90" s="378"/>
      <c r="AB90" s="378"/>
      <c r="AC90" s="600"/>
    </row>
    <row r="91" spans="1:29">
      <c r="A91" s="598">
        <v>4</v>
      </c>
      <c r="B91" s="2721" t="str">
        <f ca="1">'A &amp; L INFO'!R11</f>
        <v/>
      </c>
      <c r="C91" s="2722"/>
      <c r="D91" s="2723" t="str">
        <f ca="1">'A &amp; L INFO'!T11</f>
        <v/>
      </c>
      <c r="E91" s="2724"/>
      <c r="F91" s="2724"/>
      <c r="G91" s="2724"/>
      <c r="H91" s="2724"/>
      <c r="I91" s="2724"/>
      <c r="J91" s="2724"/>
      <c r="K91" s="2724"/>
      <c r="L91" s="2724"/>
      <c r="M91" s="2724"/>
      <c r="N91" s="2724"/>
      <c r="O91" s="2307" t="str">
        <f ca="1">IF('A &amp; L INFO'!V11&lt;&gt;"",'A &amp; L INFO'!V11,"")</f>
        <v/>
      </c>
      <c r="P91" s="2308"/>
      <c r="Q91" s="2308"/>
      <c r="R91" s="2309"/>
      <c r="S91" s="2725" t="str">
        <f ca="1">'A &amp; L INFO'!U11</f>
        <v/>
      </c>
      <c r="T91" s="2725"/>
      <c r="U91" s="2725"/>
      <c r="V91" s="2725"/>
      <c r="W91" s="2726"/>
      <c r="X91" s="599"/>
      <c r="Y91" s="378"/>
      <c r="Z91" s="378"/>
      <c r="AA91" s="378"/>
      <c r="AB91" s="378"/>
      <c r="AC91" s="600"/>
    </row>
    <row r="92" spans="1:29">
      <c r="A92" s="598">
        <v>5</v>
      </c>
      <c r="B92" s="2721" t="str">
        <f ca="1">'A &amp; L INFO'!R12</f>
        <v/>
      </c>
      <c r="C92" s="2722"/>
      <c r="D92" s="2723" t="str">
        <f ca="1">'A &amp; L INFO'!T12</f>
        <v/>
      </c>
      <c r="E92" s="2724"/>
      <c r="F92" s="2724"/>
      <c r="G92" s="2724"/>
      <c r="H92" s="2724"/>
      <c r="I92" s="2724"/>
      <c r="J92" s="2724"/>
      <c r="K92" s="2724"/>
      <c r="L92" s="2724"/>
      <c r="M92" s="2724"/>
      <c r="N92" s="2724"/>
      <c r="O92" s="2307" t="str">
        <f ca="1">IF('A &amp; L INFO'!V12&lt;&gt;"",'A &amp; L INFO'!V12,"")</f>
        <v/>
      </c>
      <c r="P92" s="2308"/>
      <c r="Q92" s="2308"/>
      <c r="R92" s="2309"/>
      <c r="S92" s="2725" t="str">
        <f ca="1">'A &amp; L INFO'!U12</f>
        <v/>
      </c>
      <c r="T92" s="2725"/>
      <c r="U92" s="2725"/>
      <c r="V92" s="2725"/>
      <c r="W92" s="2726"/>
      <c r="X92" s="599"/>
      <c r="Y92" s="378"/>
      <c r="Z92" s="378"/>
      <c r="AA92" s="378"/>
      <c r="AB92" s="378"/>
      <c r="AC92" s="600"/>
    </row>
    <row r="93" spans="1:29">
      <c r="A93" s="598">
        <v>6</v>
      </c>
      <c r="B93" s="2721" t="str">
        <f ca="1">'A &amp; L INFO'!R13</f>
        <v/>
      </c>
      <c r="C93" s="2722"/>
      <c r="D93" s="2723" t="str">
        <f ca="1">'A &amp; L INFO'!T13</f>
        <v/>
      </c>
      <c r="E93" s="2724"/>
      <c r="F93" s="2724"/>
      <c r="G93" s="2724"/>
      <c r="H93" s="2724"/>
      <c r="I93" s="2724"/>
      <c r="J93" s="2724"/>
      <c r="K93" s="2724"/>
      <c r="L93" s="2724"/>
      <c r="M93" s="2724"/>
      <c r="N93" s="2724"/>
      <c r="O93" s="2307" t="str">
        <f ca="1">IF('A &amp; L INFO'!V13&lt;&gt;"",'A &amp; L INFO'!V13,"")</f>
        <v/>
      </c>
      <c r="P93" s="2308"/>
      <c r="Q93" s="2308"/>
      <c r="R93" s="2309"/>
      <c r="S93" s="2725" t="str">
        <f ca="1">'A &amp; L INFO'!U13</f>
        <v/>
      </c>
      <c r="T93" s="2725"/>
      <c r="U93" s="2725"/>
      <c r="V93" s="2725"/>
      <c r="W93" s="2726"/>
      <c r="X93" s="599"/>
      <c r="Y93" s="378"/>
      <c r="Z93" s="378"/>
      <c r="AA93" s="378"/>
      <c r="AB93" s="378"/>
      <c r="AC93" s="600"/>
    </row>
    <row r="94" spans="1:29" ht="13.15" customHeight="1">
      <c r="A94" s="598">
        <v>7</v>
      </c>
      <c r="B94" s="2721" t="str">
        <f ca="1">'A &amp; L INFO'!R14</f>
        <v/>
      </c>
      <c r="C94" s="2722"/>
      <c r="D94" s="2723" t="str">
        <f ca="1">'A &amp; L INFO'!T14</f>
        <v/>
      </c>
      <c r="E94" s="2724"/>
      <c r="F94" s="2724"/>
      <c r="G94" s="2724"/>
      <c r="H94" s="2724"/>
      <c r="I94" s="2724"/>
      <c r="J94" s="2724"/>
      <c r="K94" s="2724"/>
      <c r="L94" s="2724"/>
      <c r="M94" s="2724"/>
      <c r="N94" s="2724"/>
      <c r="O94" s="2307" t="str">
        <f ca="1">IF('A &amp; L INFO'!V14&lt;&gt;"",'A &amp; L INFO'!V14,"")</f>
        <v/>
      </c>
      <c r="P94" s="2308"/>
      <c r="Q94" s="2308"/>
      <c r="R94" s="2309"/>
      <c r="S94" s="2725" t="str">
        <f ca="1">'A &amp; L INFO'!U14</f>
        <v/>
      </c>
      <c r="T94" s="2725"/>
      <c r="U94" s="2725"/>
      <c r="V94" s="2725"/>
      <c r="W94" s="2726"/>
      <c r="X94" s="599"/>
      <c r="Y94" s="378"/>
      <c r="Z94" s="378"/>
      <c r="AA94" s="378"/>
      <c r="AB94" s="378"/>
      <c r="AC94" s="600"/>
    </row>
    <row r="95" spans="1:29">
      <c r="A95" s="598">
        <v>8</v>
      </c>
      <c r="B95" s="2721" t="str">
        <f ca="1">'A &amp; L INFO'!R15</f>
        <v/>
      </c>
      <c r="C95" s="2722"/>
      <c r="D95" s="2723" t="str">
        <f ca="1">'A &amp; L INFO'!T15</f>
        <v/>
      </c>
      <c r="E95" s="2724"/>
      <c r="F95" s="2724"/>
      <c r="G95" s="2724"/>
      <c r="H95" s="2724"/>
      <c r="I95" s="2724"/>
      <c r="J95" s="2724"/>
      <c r="K95" s="2724"/>
      <c r="L95" s="2724"/>
      <c r="M95" s="2724"/>
      <c r="N95" s="2724"/>
      <c r="O95" s="2307" t="str">
        <f ca="1">IF('A &amp; L INFO'!V15&lt;&gt;"",'A &amp; L INFO'!V15,"")</f>
        <v/>
      </c>
      <c r="P95" s="2308"/>
      <c r="Q95" s="2308"/>
      <c r="R95" s="2309"/>
      <c r="S95" s="2725" t="str">
        <f ca="1">'A &amp; L INFO'!U15</f>
        <v/>
      </c>
      <c r="T95" s="2725"/>
      <c r="U95" s="2725"/>
      <c r="V95" s="2725"/>
      <c r="W95" s="2726"/>
      <c r="X95" s="599"/>
      <c r="Y95" s="378"/>
      <c r="Z95" s="378"/>
      <c r="AA95" s="378"/>
      <c r="AB95" s="378"/>
      <c r="AC95" s="600"/>
    </row>
    <row r="96" spans="1:29">
      <c r="A96" s="598">
        <v>9</v>
      </c>
      <c r="B96" s="2721" t="str">
        <f ca="1">'A &amp; L INFO'!R16</f>
        <v/>
      </c>
      <c r="C96" s="2722"/>
      <c r="D96" s="2723" t="str">
        <f ca="1">'A &amp; L INFO'!T16</f>
        <v/>
      </c>
      <c r="E96" s="2724"/>
      <c r="F96" s="2724"/>
      <c r="G96" s="2724"/>
      <c r="H96" s="2724"/>
      <c r="I96" s="2724"/>
      <c r="J96" s="2724"/>
      <c r="K96" s="2724"/>
      <c r="L96" s="2724"/>
      <c r="M96" s="2724"/>
      <c r="N96" s="2724"/>
      <c r="O96" s="2307" t="str">
        <f ca="1">IF('A &amp; L INFO'!V16&lt;&gt;"",'A &amp; L INFO'!V16,"")</f>
        <v/>
      </c>
      <c r="P96" s="2308"/>
      <c r="Q96" s="2308"/>
      <c r="R96" s="2309"/>
      <c r="S96" s="2725" t="str">
        <f ca="1">'A &amp; L INFO'!U16</f>
        <v/>
      </c>
      <c r="T96" s="2725"/>
      <c r="U96" s="2725"/>
      <c r="V96" s="2725"/>
      <c r="W96" s="2726"/>
      <c r="X96" s="599"/>
      <c r="Y96" s="378"/>
      <c r="Z96" s="378"/>
      <c r="AA96" s="378"/>
      <c r="AB96" s="378"/>
      <c r="AC96" s="600"/>
    </row>
    <row r="97" spans="1:29">
      <c r="A97" s="598">
        <v>10</v>
      </c>
      <c r="B97" s="2721" t="str">
        <f ca="1">'A &amp; L INFO'!R17</f>
        <v/>
      </c>
      <c r="C97" s="2722"/>
      <c r="D97" s="2723" t="str">
        <f ca="1">'A &amp; L INFO'!T17</f>
        <v/>
      </c>
      <c r="E97" s="2724"/>
      <c r="F97" s="2724"/>
      <c r="G97" s="2724"/>
      <c r="H97" s="2724"/>
      <c r="I97" s="2724"/>
      <c r="J97" s="2724"/>
      <c r="K97" s="2724"/>
      <c r="L97" s="2724"/>
      <c r="M97" s="2724"/>
      <c r="N97" s="2724"/>
      <c r="O97" s="2307" t="str">
        <f ca="1">IF('A &amp; L INFO'!V17&lt;&gt;"",'A &amp; L INFO'!V17,"")</f>
        <v/>
      </c>
      <c r="P97" s="2308"/>
      <c r="Q97" s="2308"/>
      <c r="R97" s="2309"/>
      <c r="S97" s="2725" t="str">
        <f ca="1">'A &amp; L INFO'!U17</f>
        <v/>
      </c>
      <c r="T97" s="2725"/>
      <c r="U97" s="2725"/>
      <c r="V97" s="2725"/>
      <c r="W97" s="2726"/>
      <c r="X97" s="599"/>
      <c r="Y97" s="378"/>
      <c r="Z97" s="378"/>
      <c r="AA97" s="378"/>
      <c r="AB97" s="378"/>
      <c r="AC97" s="600"/>
    </row>
    <row r="98" spans="1:29">
      <c r="A98" s="598">
        <v>11</v>
      </c>
      <c r="B98" s="2721" t="str">
        <f ca="1">'A &amp; L INFO'!R18</f>
        <v/>
      </c>
      <c r="C98" s="2722"/>
      <c r="D98" s="2723" t="str">
        <f ca="1">'A &amp; L INFO'!T18</f>
        <v/>
      </c>
      <c r="E98" s="2724"/>
      <c r="F98" s="2724"/>
      <c r="G98" s="2724"/>
      <c r="H98" s="2724"/>
      <c r="I98" s="2724"/>
      <c r="J98" s="2724"/>
      <c r="K98" s="2724"/>
      <c r="L98" s="2724"/>
      <c r="M98" s="2724"/>
      <c r="N98" s="2724"/>
      <c r="O98" s="2307" t="str">
        <f ca="1">IF('A &amp; L INFO'!V18&lt;&gt;"",'A &amp; L INFO'!V18,"")</f>
        <v/>
      </c>
      <c r="P98" s="2308"/>
      <c r="Q98" s="2308"/>
      <c r="R98" s="2309"/>
      <c r="S98" s="2725" t="str">
        <f ca="1">'A &amp; L INFO'!U18</f>
        <v/>
      </c>
      <c r="T98" s="2725"/>
      <c r="U98" s="2725"/>
      <c r="V98" s="2725"/>
      <c r="W98" s="2726"/>
      <c r="X98" s="599"/>
      <c r="Y98" s="378"/>
      <c r="Z98" s="378"/>
      <c r="AA98" s="378"/>
      <c r="AB98" s="378"/>
      <c r="AC98" s="600"/>
    </row>
    <row r="99" spans="1:29">
      <c r="A99" s="598">
        <v>12</v>
      </c>
      <c r="B99" s="2721" t="str">
        <f ca="1">'A &amp; L INFO'!R19</f>
        <v/>
      </c>
      <c r="C99" s="2722"/>
      <c r="D99" s="2723" t="str">
        <f ca="1">'A &amp; L INFO'!T19</f>
        <v/>
      </c>
      <c r="E99" s="2724"/>
      <c r="F99" s="2724"/>
      <c r="G99" s="2724"/>
      <c r="H99" s="2724"/>
      <c r="I99" s="2724"/>
      <c r="J99" s="2724"/>
      <c r="K99" s="2724"/>
      <c r="L99" s="2724"/>
      <c r="M99" s="2724"/>
      <c r="N99" s="2724"/>
      <c r="O99" s="2307" t="str">
        <f ca="1">IF('A &amp; L INFO'!V19&lt;&gt;"",'A &amp; L INFO'!V19,"")</f>
        <v/>
      </c>
      <c r="P99" s="2308"/>
      <c r="Q99" s="2308"/>
      <c r="R99" s="2309"/>
      <c r="S99" s="2725" t="str">
        <f ca="1">'A &amp; L INFO'!U19</f>
        <v/>
      </c>
      <c r="T99" s="2725"/>
      <c r="U99" s="2725"/>
      <c r="V99" s="2725"/>
      <c r="W99" s="2726"/>
      <c r="X99" s="599"/>
      <c r="Y99" s="378"/>
      <c r="Z99" s="378"/>
      <c r="AA99" s="378"/>
      <c r="AB99" s="378"/>
      <c r="AC99" s="600"/>
    </row>
    <row r="100" spans="1:29">
      <c r="A100" s="598">
        <v>13</v>
      </c>
      <c r="B100" s="2721" t="str">
        <f ca="1">'A &amp; L INFO'!R20</f>
        <v/>
      </c>
      <c r="C100" s="2722"/>
      <c r="D100" s="2723" t="str">
        <f ca="1">'A &amp; L INFO'!T20</f>
        <v/>
      </c>
      <c r="E100" s="2724"/>
      <c r="F100" s="2724"/>
      <c r="G100" s="2724"/>
      <c r="H100" s="2724"/>
      <c r="I100" s="2724"/>
      <c r="J100" s="2724"/>
      <c r="K100" s="2724"/>
      <c r="L100" s="2724"/>
      <c r="M100" s="2724"/>
      <c r="N100" s="2724"/>
      <c r="O100" s="2307" t="str">
        <f ca="1">IF('A &amp; L INFO'!V20&lt;&gt;"",'A &amp; L INFO'!V20,"")</f>
        <v/>
      </c>
      <c r="P100" s="2308"/>
      <c r="Q100" s="2308"/>
      <c r="R100" s="2309"/>
      <c r="S100" s="2725" t="str">
        <f ca="1">'A &amp; L INFO'!U20</f>
        <v/>
      </c>
      <c r="T100" s="2725"/>
      <c r="U100" s="2725"/>
      <c r="V100" s="2725"/>
      <c r="W100" s="2726"/>
      <c r="X100" s="599"/>
      <c r="Y100" s="378"/>
      <c r="Z100" s="378"/>
      <c r="AA100" s="378"/>
      <c r="AB100" s="378"/>
      <c r="AC100" s="600"/>
    </row>
    <row r="101" spans="1:29">
      <c r="A101" s="598">
        <v>14</v>
      </c>
      <c r="B101" s="2721" t="str">
        <f ca="1">'A &amp; L INFO'!R21</f>
        <v/>
      </c>
      <c r="C101" s="2722"/>
      <c r="D101" s="2723" t="str">
        <f ca="1">'A &amp; L INFO'!T21</f>
        <v/>
      </c>
      <c r="E101" s="2724"/>
      <c r="F101" s="2724"/>
      <c r="G101" s="2724"/>
      <c r="H101" s="2724"/>
      <c r="I101" s="2724"/>
      <c r="J101" s="2724"/>
      <c r="K101" s="2724"/>
      <c r="L101" s="2724"/>
      <c r="M101" s="2724"/>
      <c r="N101" s="2724"/>
      <c r="O101" s="2307" t="str">
        <f ca="1">IF('A &amp; L INFO'!V21&lt;&gt;"",'A &amp; L INFO'!V21,"")</f>
        <v/>
      </c>
      <c r="P101" s="2308"/>
      <c r="Q101" s="2308"/>
      <c r="R101" s="2309"/>
      <c r="S101" s="2725" t="str">
        <f ca="1">'A &amp; L INFO'!U21</f>
        <v/>
      </c>
      <c r="T101" s="2725"/>
      <c r="U101" s="2725"/>
      <c r="V101" s="2725"/>
      <c r="W101" s="2726"/>
      <c r="X101" s="599"/>
      <c r="Y101" s="378"/>
      <c r="Z101" s="378"/>
      <c r="AA101" s="378"/>
      <c r="AB101" s="378"/>
      <c r="AC101" s="600"/>
    </row>
    <row r="102" spans="1:29">
      <c r="A102" s="598">
        <v>15</v>
      </c>
      <c r="B102" s="2721" t="str">
        <f ca="1">'A &amp; L INFO'!R22</f>
        <v/>
      </c>
      <c r="C102" s="2722"/>
      <c r="D102" s="2723" t="str">
        <f ca="1">'A &amp; L INFO'!T22</f>
        <v/>
      </c>
      <c r="E102" s="2724"/>
      <c r="F102" s="2724"/>
      <c r="G102" s="2724"/>
      <c r="H102" s="2724"/>
      <c r="I102" s="2724"/>
      <c r="J102" s="2724"/>
      <c r="K102" s="2724"/>
      <c r="L102" s="2724"/>
      <c r="M102" s="2724"/>
      <c r="N102" s="2724"/>
      <c r="O102" s="2307" t="str">
        <f ca="1">IF('A &amp; L INFO'!V22&lt;&gt;"",'A &amp; L INFO'!V22,"")</f>
        <v/>
      </c>
      <c r="P102" s="2308"/>
      <c r="Q102" s="2308"/>
      <c r="R102" s="2309"/>
      <c r="S102" s="2725" t="str">
        <f ca="1">'A &amp; L INFO'!U22</f>
        <v/>
      </c>
      <c r="T102" s="2725"/>
      <c r="U102" s="2725"/>
      <c r="V102" s="2725"/>
      <c r="W102" s="2726"/>
      <c r="X102" s="599"/>
      <c r="Y102" s="378"/>
      <c r="Z102" s="378"/>
      <c r="AA102" s="378"/>
      <c r="AB102" s="378"/>
      <c r="AC102" s="600"/>
    </row>
    <row r="103" spans="1:29">
      <c r="A103" s="598">
        <v>16</v>
      </c>
      <c r="B103" s="2721" t="str">
        <f ca="1">'A &amp; L INFO'!R23</f>
        <v/>
      </c>
      <c r="C103" s="2722"/>
      <c r="D103" s="2723" t="str">
        <f ca="1">'A &amp; L INFO'!T23</f>
        <v/>
      </c>
      <c r="E103" s="2724"/>
      <c r="F103" s="2724"/>
      <c r="G103" s="2724"/>
      <c r="H103" s="2724"/>
      <c r="I103" s="2724"/>
      <c r="J103" s="2724"/>
      <c r="K103" s="2724"/>
      <c r="L103" s="2724"/>
      <c r="M103" s="2724"/>
      <c r="N103" s="2724"/>
      <c r="O103" s="2307" t="str">
        <f ca="1">IF('A &amp; L INFO'!V23&lt;&gt;"",'A &amp; L INFO'!V23,"")</f>
        <v/>
      </c>
      <c r="P103" s="2308"/>
      <c r="Q103" s="2308"/>
      <c r="R103" s="2309"/>
      <c r="S103" s="2725" t="str">
        <f ca="1">'A &amp; L INFO'!U23</f>
        <v/>
      </c>
      <c r="T103" s="2725"/>
      <c r="U103" s="2725"/>
      <c r="V103" s="2725"/>
      <c r="W103" s="2726"/>
      <c r="X103" s="599"/>
      <c r="Y103" s="378"/>
      <c r="Z103" s="378"/>
      <c r="AA103" s="378"/>
      <c r="AB103" s="378"/>
      <c r="AC103" s="600"/>
    </row>
    <row r="104" spans="1:29">
      <c r="A104" s="598">
        <v>17</v>
      </c>
      <c r="B104" s="2721" t="str">
        <f ca="1">'A &amp; L INFO'!R24</f>
        <v/>
      </c>
      <c r="C104" s="2722"/>
      <c r="D104" s="2723" t="str">
        <f ca="1">'A &amp; L INFO'!T24</f>
        <v/>
      </c>
      <c r="E104" s="2724"/>
      <c r="F104" s="2724"/>
      <c r="G104" s="2724"/>
      <c r="H104" s="2724"/>
      <c r="I104" s="2724"/>
      <c r="J104" s="2724"/>
      <c r="K104" s="2724"/>
      <c r="L104" s="2724"/>
      <c r="M104" s="2724"/>
      <c r="N104" s="2724"/>
      <c r="O104" s="2307" t="str">
        <f ca="1">IF('A &amp; L INFO'!V24&lt;&gt;"",'A &amp; L INFO'!V24,"")</f>
        <v/>
      </c>
      <c r="P104" s="2308"/>
      <c r="Q104" s="2308"/>
      <c r="R104" s="2309"/>
      <c r="S104" s="2725" t="str">
        <f ca="1">'A &amp; L INFO'!U24</f>
        <v/>
      </c>
      <c r="T104" s="2725"/>
      <c r="U104" s="2725"/>
      <c r="V104" s="2725"/>
      <c r="W104" s="2726"/>
      <c r="X104" s="599"/>
      <c r="Y104" s="378"/>
      <c r="Z104" s="378"/>
      <c r="AA104" s="378"/>
      <c r="AB104" s="378"/>
      <c r="AC104" s="600"/>
    </row>
    <row r="105" spans="1:29">
      <c r="A105" s="598">
        <v>18</v>
      </c>
      <c r="B105" s="2721" t="str">
        <f ca="1">'A &amp; L INFO'!R25</f>
        <v/>
      </c>
      <c r="C105" s="2722"/>
      <c r="D105" s="2723" t="str">
        <f ca="1">'A &amp; L INFO'!T25</f>
        <v/>
      </c>
      <c r="E105" s="2724"/>
      <c r="F105" s="2724"/>
      <c r="G105" s="2724"/>
      <c r="H105" s="2724"/>
      <c r="I105" s="2724"/>
      <c r="J105" s="2724"/>
      <c r="K105" s="2724"/>
      <c r="L105" s="2724"/>
      <c r="M105" s="2724"/>
      <c r="N105" s="2724"/>
      <c r="O105" s="2307" t="str">
        <f ca="1">IF('A &amp; L INFO'!V25&lt;&gt;"",'A &amp; L INFO'!V25,"")</f>
        <v/>
      </c>
      <c r="P105" s="2308"/>
      <c r="Q105" s="2308"/>
      <c r="R105" s="2309"/>
      <c r="S105" s="2725" t="str">
        <f ca="1">'A &amp; L INFO'!U25</f>
        <v/>
      </c>
      <c r="T105" s="2725"/>
      <c r="U105" s="2725"/>
      <c r="V105" s="2725"/>
      <c r="W105" s="2726"/>
      <c r="X105" s="599"/>
      <c r="Y105" s="378"/>
      <c r="Z105" s="378"/>
      <c r="AA105" s="378"/>
      <c r="AB105" s="378"/>
      <c r="AC105" s="600"/>
    </row>
    <row r="106" spans="1:29">
      <c r="A106" s="598">
        <v>19</v>
      </c>
      <c r="B106" s="2721" t="str">
        <f ca="1">'A &amp; L INFO'!R26</f>
        <v/>
      </c>
      <c r="C106" s="2722"/>
      <c r="D106" s="2723" t="str">
        <f ca="1">'A &amp; L INFO'!T26</f>
        <v/>
      </c>
      <c r="E106" s="2724"/>
      <c r="F106" s="2724"/>
      <c r="G106" s="2724"/>
      <c r="H106" s="2724"/>
      <c r="I106" s="2724"/>
      <c r="J106" s="2724"/>
      <c r="K106" s="2724"/>
      <c r="L106" s="2724"/>
      <c r="M106" s="2724"/>
      <c r="N106" s="2724"/>
      <c r="O106" s="2307" t="str">
        <f ca="1">IF('A &amp; L INFO'!V26&lt;&gt;"",'A &amp; L INFO'!V26,"")</f>
        <v/>
      </c>
      <c r="P106" s="2308"/>
      <c r="Q106" s="2308"/>
      <c r="R106" s="2309"/>
      <c r="S106" s="2725" t="str">
        <f ca="1">'A &amp; L INFO'!U26</f>
        <v/>
      </c>
      <c r="T106" s="2725"/>
      <c r="U106" s="2725"/>
      <c r="V106" s="2725"/>
      <c r="W106" s="2726"/>
      <c r="X106" s="599"/>
      <c r="Y106" s="378"/>
      <c r="Z106" s="378"/>
      <c r="AA106" s="378"/>
      <c r="AB106" s="378"/>
      <c r="AC106" s="600"/>
    </row>
    <row r="107" spans="1:29">
      <c r="A107" s="598">
        <v>20</v>
      </c>
      <c r="B107" s="2721" t="str">
        <f ca="1">'A &amp; L INFO'!R27</f>
        <v/>
      </c>
      <c r="C107" s="2722"/>
      <c r="D107" s="2723" t="str">
        <f ca="1">'A &amp; L INFO'!T27</f>
        <v/>
      </c>
      <c r="E107" s="2724"/>
      <c r="F107" s="2724"/>
      <c r="G107" s="2724"/>
      <c r="H107" s="2724"/>
      <c r="I107" s="2724"/>
      <c r="J107" s="2724"/>
      <c r="K107" s="2724"/>
      <c r="L107" s="2724"/>
      <c r="M107" s="2724"/>
      <c r="N107" s="2724"/>
      <c r="O107" s="2307" t="str">
        <f ca="1">IF('A &amp; L INFO'!V27&lt;&gt;"",'A &amp; L INFO'!V27,"")</f>
        <v/>
      </c>
      <c r="P107" s="2308"/>
      <c r="Q107" s="2308"/>
      <c r="R107" s="2309"/>
      <c r="S107" s="2725" t="str">
        <f ca="1">'A &amp; L INFO'!U27</f>
        <v/>
      </c>
      <c r="T107" s="2725"/>
      <c r="U107" s="2725"/>
      <c r="V107" s="2725"/>
      <c r="W107" s="2726"/>
      <c r="X107" s="599"/>
      <c r="Y107" s="378"/>
      <c r="Z107" s="378"/>
      <c r="AA107" s="378"/>
      <c r="AB107" s="378"/>
      <c r="AC107" s="600"/>
    </row>
    <row r="108" spans="1:29">
      <c r="A108" s="598">
        <v>21</v>
      </c>
      <c r="B108" s="2721" t="str">
        <f ca="1">'A &amp; L INFO'!R28</f>
        <v/>
      </c>
      <c r="C108" s="2722"/>
      <c r="D108" s="2723" t="str">
        <f ca="1">'A &amp; L INFO'!T28</f>
        <v/>
      </c>
      <c r="E108" s="2724"/>
      <c r="F108" s="2724"/>
      <c r="G108" s="2724"/>
      <c r="H108" s="2724"/>
      <c r="I108" s="2724"/>
      <c r="J108" s="2724"/>
      <c r="K108" s="2724"/>
      <c r="L108" s="2724"/>
      <c r="M108" s="2724"/>
      <c r="N108" s="2724"/>
      <c r="O108" s="2307" t="str">
        <f ca="1">IF('A &amp; L INFO'!V28&lt;&gt;"",'A &amp; L INFO'!V28,"")</f>
        <v/>
      </c>
      <c r="P108" s="2308"/>
      <c r="Q108" s="2308"/>
      <c r="R108" s="2309"/>
      <c r="S108" s="2725" t="str">
        <f ca="1">'A &amp; L INFO'!U28</f>
        <v/>
      </c>
      <c r="T108" s="2725"/>
      <c r="U108" s="2725"/>
      <c r="V108" s="2725"/>
      <c r="W108" s="2726"/>
      <c r="X108" s="599"/>
      <c r="Y108" s="378"/>
      <c r="Z108" s="378"/>
      <c r="AA108" s="378"/>
      <c r="AB108" s="378"/>
      <c r="AC108" s="600"/>
    </row>
    <row r="109" spans="1:29">
      <c r="A109" s="598">
        <v>22</v>
      </c>
      <c r="B109" s="2721" t="str">
        <f ca="1">'A &amp; L INFO'!R29</f>
        <v/>
      </c>
      <c r="C109" s="2722"/>
      <c r="D109" s="2723" t="str">
        <f ca="1">'A &amp; L INFO'!T29</f>
        <v/>
      </c>
      <c r="E109" s="2724"/>
      <c r="F109" s="2724"/>
      <c r="G109" s="2724"/>
      <c r="H109" s="2724"/>
      <c r="I109" s="2724"/>
      <c r="J109" s="2724"/>
      <c r="K109" s="2724"/>
      <c r="L109" s="2724"/>
      <c r="M109" s="2724"/>
      <c r="N109" s="2724"/>
      <c r="O109" s="2307" t="str">
        <f ca="1">IF('A &amp; L INFO'!V29&lt;&gt;"",'A &amp; L INFO'!V29,"")</f>
        <v/>
      </c>
      <c r="P109" s="2308"/>
      <c r="Q109" s="2308"/>
      <c r="R109" s="2309"/>
      <c r="S109" s="2725" t="str">
        <f ca="1">'A &amp; L INFO'!U29</f>
        <v/>
      </c>
      <c r="T109" s="2725"/>
      <c r="U109" s="2725"/>
      <c r="V109" s="2725"/>
      <c r="W109" s="2726"/>
      <c r="X109" s="599"/>
      <c r="Y109" s="378"/>
      <c r="Z109" s="378"/>
      <c r="AA109" s="378"/>
      <c r="AB109" s="378"/>
      <c r="AC109" s="600"/>
    </row>
    <row r="110" spans="1:29">
      <c r="A110" s="598">
        <v>23</v>
      </c>
      <c r="B110" s="2721" t="str">
        <f ca="1">'A &amp; L INFO'!R30</f>
        <v/>
      </c>
      <c r="C110" s="2722"/>
      <c r="D110" s="2723" t="str">
        <f ca="1">'A &amp; L INFO'!T30</f>
        <v/>
      </c>
      <c r="E110" s="2724"/>
      <c r="F110" s="2724"/>
      <c r="G110" s="2724"/>
      <c r="H110" s="2724"/>
      <c r="I110" s="2724"/>
      <c r="J110" s="2724"/>
      <c r="K110" s="2724"/>
      <c r="L110" s="2724"/>
      <c r="M110" s="2724"/>
      <c r="N110" s="2724"/>
      <c r="O110" s="2307" t="str">
        <f ca="1">IF('A &amp; L INFO'!V30&lt;&gt;"",'A &amp; L INFO'!V30,"")</f>
        <v/>
      </c>
      <c r="P110" s="2308"/>
      <c r="Q110" s="2308"/>
      <c r="R110" s="2309"/>
      <c r="S110" s="2725" t="str">
        <f ca="1">'A &amp; L INFO'!U30</f>
        <v/>
      </c>
      <c r="T110" s="2725"/>
      <c r="U110" s="2725"/>
      <c r="V110" s="2725"/>
      <c r="W110" s="2726"/>
      <c r="X110" s="599"/>
      <c r="Y110" s="378"/>
      <c r="Z110" s="378"/>
      <c r="AA110" s="378"/>
      <c r="AB110" s="378"/>
      <c r="AC110" s="600"/>
    </row>
    <row r="111" spans="1:29">
      <c r="A111" s="598">
        <v>24</v>
      </c>
      <c r="B111" s="2721" t="str">
        <f ca="1">'A &amp; L INFO'!R31</f>
        <v/>
      </c>
      <c r="C111" s="2722"/>
      <c r="D111" s="2723" t="str">
        <f ca="1">'A &amp; L INFO'!T31</f>
        <v/>
      </c>
      <c r="E111" s="2724"/>
      <c r="F111" s="2724"/>
      <c r="G111" s="2724"/>
      <c r="H111" s="2724"/>
      <c r="I111" s="2724"/>
      <c r="J111" s="2724"/>
      <c r="K111" s="2724"/>
      <c r="L111" s="2724"/>
      <c r="M111" s="2724"/>
      <c r="N111" s="2724"/>
      <c r="O111" s="2307" t="str">
        <f ca="1">IF('A &amp; L INFO'!V31&lt;&gt;"",'A &amp; L INFO'!V31,"")</f>
        <v/>
      </c>
      <c r="P111" s="2308"/>
      <c r="Q111" s="2308"/>
      <c r="R111" s="2309"/>
      <c r="S111" s="2725" t="str">
        <f ca="1">'A &amp; L INFO'!U31</f>
        <v/>
      </c>
      <c r="T111" s="2725"/>
      <c r="U111" s="2725"/>
      <c r="V111" s="2725"/>
      <c r="W111" s="2726"/>
      <c r="X111" s="599"/>
      <c r="Y111" s="378"/>
      <c r="Z111" s="378"/>
      <c r="AA111" s="378"/>
      <c r="AB111" s="378"/>
      <c r="AC111" s="600"/>
    </row>
    <row r="112" spans="1:29">
      <c r="A112" s="598">
        <v>25</v>
      </c>
      <c r="B112" s="2721" t="str">
        <f ca="1">'A &amp; L INFO'!R32</f>
        <v/>
      </c>
      <c r="C112" s="2722"/>
      <c r="D112" s="2723" t="str">
        <f ca="1">'A &amp; L INFO'!T32</f>
        <v/>
      </c>
      <c r="E112" s="2724"/>
      <c r="F112" s="2724"/>
      <c r="G112" s="2724"/>
      <c r="H112" s="2724"/>
      <c r="I112" s="2724"/>
      <c r="J112" s="2724"/>
      <c r="K112" s="2724"/>
      <c r="L112" s="2724"/>
      <c r="M112" s="2724"/>
      <c r="N112" s="2724"/>
      <c r="O112" s="2307" t="str">
        <f ca="1">IF('A &amp; L INFO'!V32&lt;&gt;"",'A &amp; L INFO'!V32,"")</f>
        <v/>
      </c>
      <c r="P112" s="2308"/>
      <c r="Q112" s="2308"/>
      <c r="R112" s="2309"/>
      <c r="S112" s="2725" t="str">
        <f ca="1">'A &amp; L INFO'!U32</f>
        <v/>
      </c>
      <c r="T112" s="2725"/>
      <c r="U112" s="2725"/>
      <c r="V112" s="2725"/>
      <c r="W112" s="2726"/>
      <c r="X112" s="599"/>
      <c r="Y112" s="378"/>
      <c r="Z112" s="378"/>
      <c r="AA112" s="378"/>
      <c r="AB112" s="378"/>
      <c r="AC112" s="600"/>
    </row>
    <row r="113" spans="1:29">
      <c r="A113" s="598">
        <v>26</v>
      </c>
      <c r="B113" s="2721" t="str">
        <f ca="1">'A &amp; L INFO'!R33</f>
        <v/>
      </c>
      <c r="C113" s="2722"/>
      <c r="D113" s="2723" t="str">
        <f ca="1">'A &amp; L INFO'!T33</f>
        <v/>
      </c>
      <c r="E113" s="2724"/>
      <c r="F113" s="2724"/>
      <c r="G113" s="2724"/>
      <c r="H113" s="2724"/>
      <c r="I113" s="2724"/>
      <c r="J113" s="2724"/>
      <c r="K113" s="2724"/>
      <c r="L113" s="2724"/>
      <c r="M113" s="2724"/>
      <c r="N113" s="2724"/>
      <c r="O113" s="2307" t="str">
        <f ca="1">IF('A &amp; L INFO'!V33&lt;&gt;"",'A &amp; L INFO'!V33,"")</f>
        <v/>
      </c>
      <c r="P113" s="2308"/>
      <c r="Q113" s="2308"/>
      <c r="R113" s="2309"/>
      <c r="S113" s="2725" t="str">
        <f ca="1">'A &amp; L INFO'!U33</f>
        <v/>
      </c>
      <c r="T113" s="2725"/>
      <c r="U113" s="2725"/>
      <c r="V113" s="2725"/>
      <c r="W113" s="2726"/>
      <c r="X113" s="599"/>
      <c r="Y113" s="378"/>
      <c r="Z113" s="378"/>
      <c r="AA113" s="378"/>
      <c r="AB113" s="378"/>
      <c r="AC113" s="600"/>
    </row>
    <row r="114" spans="1:29">
      <c r="A114" s="598">
        <v>27</v>
      </c>
      <c r="B114" s="2721" t="str">
        <f ca="1">'A &amp; L INFO'!R34</f>
        <v/>
      </c>
      <c r="C114" s="2722"/>
      <c r="D114" s="2723" t="str">
        <f ca="1">'A &amp; L INFO'!T34</f>
        <v/>
      </c>
      <c r="E114" s="2724"/>
      <c r="F114" s="2724"/>
      <c r="G114" s="2724"/>
      <c r="H114" s="2724"/>
      <c r="I114" s="2724"/>
      <c r="J114" s="2724"/>
      <c r="K114" s="2724"/>
      <c r="L114" s="2724"/>
      <c r="M114" s="2724"/>
      <c r="N114" s="2724"/>
      <c r="O114" s="2307" t="str">
        <f ca="1">IF('A &amp; L INFO'!V34&lt;&gt;"",'A &amp; L INFO'!V34,"")</f>
        <v/>
      </c>
      <c r="P114" s="2308"/>
      <c r="Q114" s="2308"/>
      <c r="R114" s="2309"/>
      <c r="S114" s="2725" t="str">
        <f ca="1">'A &amp; L INFO'!U34</f>
        <v/>
      </c>
      <c r="T114" s="2725"/>
      <c r="U114" s="2725"/>
      <c r="V114" s="2725"/>
      <c r="W114" s="2726"/>
      <c r="X114" s="599"/>
      <c r="Y114" s="378"/>
      <c r="Z114" s="378"/>
      <c r="AA114" s="378"/>
      <c r="AB114" s="378"/>
      <c r="AC114" s="600"/>
    </row>
    <row r="115" spans="1:29">
      <c r="A115" s="598">
        <v>28</v>
      </c>
      <c r="B115" s="2721" t="str">
        <f ca="1">'A &amp; L INFO'!R35</f>
        <v/>
      </c>
      <c r="C115" s="2722"/>
      <c r="D115" s="2723" t="str">
        <f ca="1">'A &amp; L INFO'!T35</f>
        <v/>
      </c>
      <c r="E115" s="2724"/>
      <c r="F115" s="2724"/>
      <c r="G115" s="2724"/>
      <c r="H115" s="2724"/>
      <c r="I115" s="2724"/>
      <c r="J115" s="2724"/>
      <c r="K115" s="2724"/>
      <c r="L115" s="2724"/>
      <c r="M115" s="2724"/>
      <c r="N115" s="2724"/>
      <c r="O115" s="2307" t="str">
        <f ca="1">IF('A &amp; L INFO'!V35&lt;&gt;"",'A &amp; L INFO'!V35,"")</f>
        <v/>
      </c>
      <c r="P115" s="2308"/>
      <c r="Q115" s="2308"/>
      <c r="R115" s="2309"/>
      <c r="S115" s="2725" t="str">
        <f ca="1">'A &amp; L INFO'!U35</f>
        <v/>
      </c>
      <c r="T115" s="2725"/>
      <c r="U115" s="2725"/>
      <c r="V115" s="2725"/>
      <c r="W115" s="2726"/>
      <c r="X115" s="599"/>
      <c r="Y115" s="378"/>
      <c r="Z115" s="378"/>
      <c r="AA115" s="378"/>
      <c r="AB115" s="378"/>
      <c r="AC115" s="600"/>
    </row>
    <row r="116" spans="1:29">
      <c r="A116" s="598">
        <v>29</v>
      </c>
      <c r="B116" s="2721" t="str">
        <f ca="1">'A &amp; L INFO'!R36</f>
        <v/>
      </c>
      <c r="C116" s="2722"/>
      <c r="D116" s="2723" t="str">
        <f ca="1">'A &amp; L INFO'!T36</f>
        <v/>
      </c>
      <c r="E116" s="2724"/>
      <c r="F116" s="2724"/>
      <c r="G116" s="2724"/>
      <c r="H116" s="2724"/>
      <c r="I116" s="2724"/>
      <c r="J116" s="2724"/>
      <c r="K116" s="2724"/>
      <c r="L116" s="2724"/>
      <c r="M116" s="2724"/>
      <c r="N116" s="2724"/>
      <c r="O116" s="2307" t="str">
        <f ca="1">IF('A &amp; L INFO'!V36&lt;&gt;"",'A &amp; L INFO'!V36,"")</f>
        <v/>
      </c>
      <c r="P116" s="2308"/>
      <c r="Q116" s="2308"/>
      <c r="R116" s="2309"/>
      <c r="S116" s="2725" t="str">
        <f ca="1">'A &amp; L INFO'!U36</f>
        <v/>
      </c>
      <c r="T116" s="2725"/>
      <c r="U116" s="2725"/>
      <c r="V116" s="2725"/>
      <c r="W116" s="2726"/>
      <c r="X116" s="599"/>
      <c r="Y116" s="378"/>
      <c r="Z116" s="378"/>
      <c r="AA116" s="378"/>
      <c r="AB116" s="378"/>
      <c r="AC116" s="600"/>
    </row>
    <row r="117" spans="1:29">
      <c r="A117" s="598">
        <v>30</v>
      </c>
      <c r="B117" s="2727" t="str">
        <f ca="1">'A &amp; L INFO'!R37</f>
        <v/>
      </c>
      <c r="C117" s="2728"/>
      <c r="D117" s="2729" t="str">
        <f ca="1">'A &amp; L INFO'!T37</f>
        <v/>
      </c>
      <c r="E117" s="2730"/>
      <c r="F117" s="2730"/>
      <c r="G117" s="2730"/>
      <c r="H117" s="2730"/>
      <c r="I117" s="2730"/>
      <c r="J117" s="2730"/>
      <c r="K117" s="2730"/>
      <c r="L117" s="2730"/>
      <c r="M117" s="2730"/>
      <c r="N117" s="2730"/>
      <c r="O117" s="2733" t="str">
        <f ca="1">IF('A &amp; L INFO'!V37&lt;&gt;"",'A &amp; L INFO'!V37,"")</f>
        <v/>
      </c>
      <c r="P117" s="2734"/>
      <c r="Q117" s="2734"/>
      <c r="R117" s="2735"/>
      <c r="S117" s="2731" t="str">
        <f ca="1">'A &amp; L INFO'!U37</f>
        <v/>
      </c>
      <c r="T117" s="2731"/>
      <c r="U117" s="2731"/>
      <c r="V117" s="2731"/>
      <c r="W117" s="2732"/>
      <c r="X117" s="599"/>
      <c r="Y117" s="378"/>
      <c r="Z117" s="378"/>
      <c r="AA117" s="378"/>
      <c r="AB117" s="378"/>
      <c r="AC117" s="600"/>
    </row>
    <row r="118" spans="1:29" ht="13" thickBot="1">
      <c r="A118" s="601" t="s">
        <v>929</v>
      </c>
      <c r="B118" s="602"/>
      <c r="C118" s="602"/>
      <c r="D118" s="602"/>
      <c r="E118" s="602"/>
      <c r="F118" s="602"/>
      <c r="G118" s="602"/>
      <c r="H118" s="602"/>
      <c r="I118" s="602"/>
      <c r="J118" s="602"/>
      <c r="K118" s="602"/>
      <c r="L118" s="602"/>
      <c r="M118" s="602"/>
      <c r="N118" s="602"/>
      <c r="O118" s="1255"/>
      <c r="P118" s="1255"/>
      <c r="Q118" s="1255"/>
      <c r="R118" s="1255"/>
      <c r="S118" s="2488">
        <f ca="1">+SUM(S88:W117)</f>
        <v>0</v>
      </c>
      <c r="T118" s="2489"/>
      <c r="U118" s="2489"/>
      <c r="V118" s="2489"/>
      <c r="W118" s="2490"/>
      <c r="X118" s="602"/>
      <c r="Y118" s="602"/>
      <c r="Z118" s="602"/>
      <c r="AA118" s="602"/>
      <c r="AB118" s="602"/>
      <c r="AC118" s="603"/>
    </row>
    <row r="120" spans="1:1" ht="25.15" customHeight="1">
      <c r="A120" s="596" t="s">
        <v>429</v>
      </c>
    </row>
    <row r="121" ht="13" thickBot="1"/>
    <row r="122" spans="1:29" ht="27" customHeight="1">
      <c r="A122" s="618" t="s">
        <v>223</v>
      </c>
      <c r="B122" s="2708" t="s">
        <v>930</v>
      </c>
      <c r="C122" s="2709"/>
      <c r="D122" s="2708" t="s">
        <v>931</v>
      </c>
      <c r="E122" s="2710"/>
      <c r="F122" s="2710"/>
      <c r="G122" s="2710"/>
      <c r="H122" s="2710"/>
      <c r="I122" s="2710"/>
      <c r="J122" s="2709"/>
      <c r="K122" s="2708" t="s">
        <v>932</v>
      </c>
      <c r="L122" s="2710"/>
      <c r="M122" s="2710"/>
      <c r="N122" s="2710"/>
      <c r="O122" s="2710"/>
      <c r="P122" s="2710"/>
      <c r="Q122" s="2710"/>
      <c r="R122" s="2710"/>
      <c r="S122" s="2709"/>
      <c r="T122" s="2708" t="s">
        <v>933</v>
      </c>
      <c r="U122" s="2710"/>
      <c r="V122" s="2710"/>
      <c r="W122" s="2709"/>
      <c r="X122" s="2708" t="s">
        <v>934</v>
      </c>
      <c r="Y122" s="2710"/>
      <c r="Z122" s="2710"/>
      <c r="AA122" s="2710"/>
      <c r="AB122" s="2710"/>
      <c r="AC122" s="2711"/>
    </row>
    <row r="123" spans="1:29" ht="13" thickBot="1">
      <c r="A123" s="619" t="s">
        <v>65</v>
      </c>
      <c r="B123" s="1452" t="s">
        <v>64</v>
      </c>
      <c r="C123" s="1758"/>
      <c r="D123" s="1452" t="s">
        <v>66</v>
      </c>
      <c r="E123" s="2713"/>
      <c r="F123" s="2713"/>
      <c r="G123" s="2713"/>
      <c r="H123" s="2713"/>
      <c r="I123" s="2713"/>
      <c r="J123" s="1758"/>
      <c r="K123" s="1452" t="s">
        <v>67</v>
      </c>
      <c r="L123" s="2713"/>
      <c r="M123" s="2713"/>
      <c r="N123" s="2713"/>
      <c r="O123" s="2713"/>
      <c r="P123" s="2713"/>
      <c r="Q123" s="2713"/>
      <c r="R123" s="2713"/>
      <c r="S123" s="1758"/>
      <c r="T123" s="1452" t="s">
        <v>68</v>
      </c>
      <c r="U123" s="2713"/>
      <c r="V123" s="2713"/>
      <c r="W123" s="1758"/>
      <c r="X123" s="1452" t="s">
        <v>100</v>
      </c>
      <c r="Y123" s="2713"/>
      <c r="Z123" s="2713"/>
      <c r="AA123" s="2713"/>
      <c r="AB123" s="2713"/>
      <c r="AC123" s="2714"/>
    </row>
    <row r="124" spans="1:29">
      <c r="A124" s="598">
        <v>1</v>
      </c>
      <c r="B124" s="2715" t="str">
        <f ca="1">'A &amp; L INFO'!R40</f>
        <v/>
      </c>
      <c r="C124" s="2716"/>
      <c r="D124" s="2717" t="str">
        <f ca="1">'A &amp; L INFO'!T40</f>
        <v/>
      </c>
      <c r="E124" s="2718"/>
      <c r="F124" s="2718"/>
      <c r="G124" s="2718"/>
      <c r="H124" s="2718"/>
      <c r="I124" s="2718"/>
      <c r="J124" s="2739"/>
      <c r="K124" s="604"/>
      <c r="L124" s="605"/>
      <c r="M124" s="605"/>
      <c r="N124" s="605"/>
      <c r="O124" s="615"/>
      <c r="P124" s="615"/>
      <c r="Q124" s="615"/>
      <c r="R124" s="615"/>
      <c r="S124" s="1256"/>
      <c r="T124" s="2301" t="str">
        <f ca="1">IF('A &amp; L INFO'!V40&lt;&gt;"",'A &amp; L INFO'!V40,"")</f>
        <v/>
      </c>
      <c r="U124" s="2302"/>
      <c r="V124" s="2302"/>
      <c r="W124" s="2303"/>
      <c r="X124" s="2740" t="str">
        <f ca="1">'A &amp; L INFO'!U40</f>
        <v/>
      </c>
      <c r="Y124" s="2740"/>
      <c r="Z124" s="2740"/>
      <c r="AA124" s="2740"/>
      <c r="AB124" s="2740"/>
      <c r="AC124" s="2741"/>
    </row>
    <row r="125" spans="1:29">
      <c r="A125" s="598">
        <v>2</v>
      </c>
      <c r="B125" s="2721" t="str">
        <f ca="1">'A &amp; L INFO'!R41</f>
        <v/>
      </c>
      <c r="C125" s="2722"/>
      <c r="D125" s="2723" t="str">
        <f ca="1">'A &amp; L INFO'!T41</f>
        <v/>
      </c>
      <c r="E125" s="2724"/>
      <c r="F125" s="2724"/>
      <c r="G125" s="2724"/>
      <c r="H125" s="2724"/>
      <c r="I125" s="2724"/>
      <c r="J125" s="2742"/>
      <c r="K125" s="606"/>
      <c r="L125" s="607"/>
      <c r="M125" s="607"/>
      <c r="N125" s="607"/>
      <c r="O125" s="378"/>
      <c r="P125" s="378"/>
      <c r="Q125" s="378"/>
      <c r="R125" s="378"/>
      <c r="S125" s="1257"/>
      <c r="T125" s="2301" t="str">
        <f ca="1">IF('A &amp; L INFO'!V41&lt;&gt;"",'A &amp; L INFO'!V41,"")</f>
        <v/>
      </c>
      <c r="U125" s="2302"/>
      <c r="V125" s="2302"/>
      <c r="W125" s="2303"/>
      <c r="X125" s="2743" t="str">
        <f ca="1">'A &amp; L INFO'!U41</f>
        <v/>
      </c>
      <c r="Y125" s="2743"/>
      <c r="Z125" s="2743"/>
      <c r="AA125" s="2743"/>
      <c r="AB125" s="2743"/>
      <c r="AC125" s="2744"/>
    </row>
    <row r="126" spans="1:29">
      <c r="A126" s="598">
        <v>3</v>
      </c>
      <c r="B126" s="2721" t="str">
        <f ca="1">'A &amp; L INFO'!R42</f>
        <v/>
      </c>
      <c r="C126" s="2722"/>
      <c r="D126" s="2723" t="str">
        <f ca="1">'A &amp; L INFO'!T42</f>
        <v/>
      </c>
      <c r="E126" s="2724"/>
      <c r="F126" s="2724"/>
      <c r="G126" s="2724"/>
      <c r="H126" s="2724"/>
      <c r="I126" s="2724"/>
      <c r="J126" s="2742"/>
      <c r="K126" s="606"/>
      <c r="L126" s="607"/>
      <c r="M126" s="607"/>
      <c r="N126" s="607"/>
      <c r="O126" s="378"/>
      <c r="P126" s="378"/>
      <c r="Q126" s="378"/>
      <c r="R126" s="378"/>
      <c r="S126" s="1257"/>
      <c r="T126" s="2301" t="str">
        <f ca="1">IF('A &amp; L INFO'!V42&lt;&gt;"",'A &amp; L INFO'!V42,"")</f>
        <v/>
      </c>
      <c r="U126" s="2302"/>
      <c r="V126" s="2302"/>
      <c r="W126" s="2303"/>
      <c r="X126" s="2743" t="str">
        <f ca="1">'A &amp; L INFO'!U42</f>
        <v/>
      </c>
      <c r="Y126" s="2743"/>
      <c r="Z126" s="2743"/>
      <c r="AA126" s="2743"/>
      <c r="AB126" s="2743"/>
      <c r="AC126" s="2744"/>
    </row>
    <row r="127" spans="1:29">
      <c r="A127" s="598">
        <v>4</v>
      </c>
      <c r="B127" s="2727" t="str">
        <f ca="1">'A &amp; L INFO'!R43</f>
        <v/>
      </c>
      <c r="C127" s="2728"/>
      <c r="D127" s="2729" t="str">
        <f ca="1">'A &amp; L INFO'!T43</f>
        <v/>
      </c>
      <c r="E127" s="2730"/>
      <c r="F127" s="2730"/>
      <c r="G127" s="2730"/>
      <c r="H127" s="2730"/>
      <c r="I127" s="2730"/>
      <c r="J127" s="2748"/>
      <c r="K127" s="609"/>
      <c r="L127" s="610"/>
      <c r="M127" s="610"/>
      <c r="N127" s="610"/>
      <c r="O127" s="614"/>
      <c r="P127" s="614"/>
      <c r="Q127" s="614"/>
      <c r="R127" s="614"/>
      <c r="S127" s="1258"/>
      <c r="T127" s="2745" t="str">
        <f ca="1">IF('A &amp; L INFO'!V43&lt;&gt;"",'A &amp; L INFO'!V43,"")</f>
        <v/>
      </c>
      <c r="U127" s="2746"/>
      <c r="V127" s="2746"/>
      <c r="W127" s="2747"/>
      <c r="X127" s="2749" t="str">
        <f ca="1">'A &amp; L INFO'!U43</f>
        <v/>
      </c>
      <c r="Y127" s="2749"/>
      <c r="Z127" s="2749"/>
      <c r="AA127" s="2749"/>
      <c r="AB127" s="2749"/>
      <c r="AC127" s="2750"/>
    </row>
    <row r="128" spans="1:29" ht="13" thickBot="1">
      <c r="A128" s="601" t="s">
        <v>935</v>
      </c>
      <c r="B128" s="602"/>
      <c r="C128" s="602"/>
      <c r="D128" s="602"/>
      <c r="E128" s="602"/>
      <c r="F128" s="602"/>
      <c r="G128" s="602"/>
      <c r="H128" s="602"/>
      <c r="I128" s="602"/>
      <c r="J128" s="602"/>
      <c r="K128" s="612"/>
      <c r="L128" s="602"/>
      <c r="M128" s="602"/>
      <c r="N128" s="602"/>
      <c r="O128" s="602"/>
      <c r="P128" s="602"/>
      <c r="Q128" s="602"/>
      <c r="R128" s="602"/>
      <c r="S128" s="613"/>
      <c r="T128" s="1259"/>
      <c r="U128" s="1260"/>
      <c r="V128" s="1260"/>
      <c r="W128" s="1261"/>
      <c r="X128" s="2736">
        <f ca="1">+SUM(X124:AC127)</f>
        <v>0</v>
      </c>
      <c r="Y128" s="2737"/>
      <c r="Z128" s="2737"/>
      <c r="AA128" s="2737"/>
      <c r="AB128" s="2737"/>
      <c r="AC128" s="2738"/>
    </row>
  </sheetData>
  <sheetProtection formatCells="0" formatColumns="0" formatRows="0"/>
  <mergeCells count="314">
    <mergeCell ref="Q23:T23"/>
    <mergeCell ref="U23:X23"/>
    <mergeCell ref="B24:F24"/>
    <mergeCell ref="G24:H24"/>
    <mergeCell ref="I24:L24"/>
    <mergeCell ref="M24:P24"/>
    <mergeCell ref="Q24:T24"/>
    <mergeCell ref="U24:X24"/>
    <mergeCell ref="B127:C127"/>
    <mergeCell ref="D127:J127"/>
    <mergeCell ref="X127:AC127"/>
    <mergeCell ref="B122:C122"/>
    <mergeCell ref="D122:J122"/>
    <mergeCell ref="K122:S122"/>
    <mergeCell ref="T122:W122"/>
    <mergeCell ref="X122:AC122"/>
    <mergeCell ref="B123:C123"/>
    <mergeCell ref="D123:J123"/>
    <mergeCell ref="K123:S123"/>
    <mergeCell ref="T123:W123"/>
    <mergeCell ref="X123:AC123"/>
    <mergeCell ref="B115:C115"/>
    <mergeCell ref="D115:N115"/>
    <mergeCell ref="B116:C116"/>
    <mergeCell ref="X128:AC128"/>
    <mergeCell ref="B124:C124"/>
    <mergeCell ref="D124:J124"/>
    <mergeCell ref="X124:AC124"/>
    <mergeCell ref="B125:C125"/>
    <mergeCell ref="D125:J125"/>
    <mergeCell ref="X125:AC125"/>
    <mergeCell ref="B126:C126"/>
    <mergeCell ref="D126:J126"/>
    <mergeCell ref="X126:AC126"/>
    <mergeCell ref="T124:W124"/>
    <mergeCell ref="T125:W125"/>
    <mergeCell ref="T126:W126"/>
    <mergeCell ref="T127:W127"/>
    <mergeCell ref="S118:W118"/>
    <mergeCell ref="S115:W115"/>
    <mergeCell ref="B110:C110"/>
    <mergeCell ref="D110:N110"/>
    <mergeCell ref="B111:C111"/>
    <mergeCell ref="D111:N111"/>
    <mergeCell ref="B112:C112"/>
    <mergeCell ref="D112:N112"/>
    <mergeCell ref="B113:C113"/>
    <mergeCell ref="D113:N113"/>
    <mergeCell ref="B114:C114"/>
    <mergeCell ref="D114:N114"/>
    <mergeCell ref="S110:W110"/>
    <mergeCell ref="S111:W111"/>
    <mergeCell ref="S112:W112"/>
    <mergeCell ref="S113:W113"/>
    <mergeCell ref="S114:W114"/>
    <mergeCell ref="B108:C108"/>
    <mergeCell ref="D108:N108"/>
    <mergeCell ref="B109:C109"/>
    <mergeCell ref="D109:N109"/>
    <mergeCell ref="S108:W108"/>
    <mergeCell ref="S109:W109"/>
    <mergeCell ref="D116:N116"/>
    <mergeCell ref="S116:W116"/>
    <mergeCell ref="B117:C117"/>
    <mergeCell ref="D117:N117"/>
    <mergeCell ref="S117:W117"/>
    <mergeCell ref="O108:R108"/>
    <mergeCell ref="O109:R109"/>
    <mergeCell ref="O110:R110"/>
    <mergeCell ref="O111:R111"/>
    <mergeCell ref="O112:R112"/>
    <mergeCell ref="O113:R113"/>
    <mergeCell ref="O114:R114"/>
    <mergeCell ref="O115:R115"/>
    <mergeCell ref="O116:R116"/>
    <mergeCell ref="O117:R117"/>
    <mergeCell ref="B105:C105"/>
    <mergeCell ref="D105:N105"/>
    <mergeCell ref="S105:W105"/>
    <mergeCell ref="B106:C106"/>
    <mergeCell ref="D106:N106"/>
    <mergeCell ref="S106:W106"/>
    <mergeCell ref="B107:C107"/>
    <mergeCell ref="D107:N107"/>
    <mergeCell ref="S107:W107"/>
    <mergeCell ref="O105:R105"/>
    <mergeCell ref="O106:R106"/>
    <mergeCell ref="O107:R107"/>
    <mergeCell ref="B102:C102"/>
    <mergeCell ref="D102:N102"/>
    <mergeCell ref="S102:W102"/>
    <mergeCell ref="B103:C103"/>
    <mergeCell ref="D103:N103"/>
    <mergeCell ref="S103:W103"/>
    <mergeCell ref="B104:C104"/>
    <mergeCell ref="D104:N104"/>
    <mergeCell ref="S104:W104"/>
    <mergeCell ref="O102:R102"/>
    <mergeCell ref="O103:R103"/>
    <mergeCell ref="O104:R104"/>
    <mergeCell ref="B99:C99"/>
    <mergeCell ref="D99:N99"/>
    <mergeCell ref="S99:W99"/>
    <mergeCell ref="B100:C100"/>
    <mergeCell ref="D100:N100"/>
    <mergeCell ref="S100:W100"/>
    <mergeCell ref="B101:C101"/>
    <mergeCell ref="D101:N101"/>
    <mergeCell ref="S101:W101"/>
    <mergeCell ref="O99:R99"/>
    <mergeCell ref="O100:R100"/>
    <mergeCell ref="O101:R101"/>
    <mergeCell ref="B96:C96"/>
    <mergeCell ref="D96:N96"/>
    <mergeCell ref="S96:W96"/>
    <mergeCell ref="B97:C97"/>
    <mergeCell ref="D97:N97"/>
    <mergeCell ref="S97:W97"/>
    <mergeCell ref="B98:C98"/>
    <mergeCell ref="D98:N98"/>
    <mergeCell ref="S98:W98"/>
    <mergeCell ref="O96:R96"/>
    <mergeCell ref="O97:R97"/>
    <mergeCell ref="O98:R98"/>
    <mergeCell ref="B93:C93"/>
    <mergeCell ref="D93:N93"/>
    <mergeCell ref="S93:W93"/>
    <mergeCell ref="B94:C94"/>
    <mergeCell ref="D94:N94"/>
    <mergeCell ref="S94:W94"/>
    <mergeCell ref="B95:C95"/>
    <mergeCell ref="D95:N95"/>
    <mergeCell ref="S95:W95"/>
    <mergeCell ref="O93:R93"/>
    <mergeCell ref="O94:R94"/>
    <mergeCell ref="O95:R95"/>
    <mergeCell ref="B90:C90"/>
    <mergeCell ref="D90:N90"/>
    <mergeCell ref="S90:W90"/>
    <mergeCell ref="B91:C91"/>
    <mergeCell ref="D91:N91"/>
    <mergeCell ref="S91:W91"/>
    <mergeCell ref="B92:C92"/>
    <mergeCell ref="D92:N92"/>
    <mergeCell ref="S92:W92"/>
    <mergeCell ref="O90:R90"/>
    <mergeCell ref="O91:R91"/>
    <mergeCell ref="O92:R92"/>
    <mergeCell ref="B87:C87"/>
    <mergeCell ref="D87:N87"/>
    <mergeCell ref="O87:R87"/>
    <mergeCell ref="S87:W87"/>
    <mergeCell ref="X87:AC87"/>
    <mergeCell ref="B88:C88"/>
    <mergeCell ref="D88:N88"/>
    <mergeCell ref="S88:W88"/>
    <mergeCell ref="B89:C89"/>
    <mergeCell ref="D89:N89"/>
    <mergeCell ref="S89:W89"/>
    <mergeCell ref="O88:R88"/>
    <mergeCell ref="O89:R89"/>
    <mergeCell ref="T51:W51"/>
    <mergeCell ref="X51:AA51"/>
    <mergeCell ref="T52:W52"/>
    <mergeCell ref="X52:AA52"/>
    <mergeCell ref="T53:W53"/>
    <mergeCell ref="X53:AA53"/>
    <mergeCell ref="T54:W54"/>
    <mergeCell ref="X54:AA54"/>
    <mergeCell ref="B86:C86"/>
    <mergeCell ref="D86:N86"/>
    <mergeCell ref="O86:R86"/>
    <mergeCell ref="S86:W86"/>
    <mergeCell ref="X86:AC86"/>
    <mergeCell ref="C79:AB79"/>
    <mergeCell ref="A5:AC5"/>
    <mergeCell ref="T55:W55"/>
    <mergeCell ref="X55:AA55"/>
    <mergeCell ref="Y43:AB43"/>
    <mergeCell ref="E43:J43"/>
    <mergeCell ref="K43:P43"/>
    <mergeCell ref="Q43:T43"/>
    <mergeCell ref="U43:X43"/>
    <mergeCell ref="R28:V28"/>
    <mergeCell ref="I47:J47"/>
    <mergeCell ref="S42:W42"/>
    <mergeCell ref="S39:W39"/>
    <mergeCell ref="S40:W40"/>
    <mergeCell ref="S41:W41"/>
    <mergeCell ref="B16:F16"/>
    <mergeCell ref="G16:H16"/>
    <mergeCell ref="I16:L16"/>
    <mergeCell ref="M16:P16"/>
    <mergeCell ref="Q16:T16"/>
    <mergeCell ref="U15:X15"/>
    <mergeCell ref="I15:L15"/>
    <mergeCell ref="G14:H15"/>
    <mergeCell ref="K42:N42"/>
    <mergeCell ref="O42:R42"/>
    <mergeCell ref="S35:W35"/>
    <mergeCell ref="S36:W36"/>
    <mergeCell ref="S37:W37"/>
    <mergeCell ref="S38:W38"/>
    <mergeCell ref="T56:W56"/>
    <mergeCell ref="X77:AA77"/>
    <mergeCell ref="X69:AA69"/>
    <mergeCell ref="X70:AA70"/>
    <mergeCell ref="X71:AA71"/>
    <mergeCell ref="X72:AA72"/>
    <mergeCell ref="X73:AA73"/>
    <mergeCell ref="X74:AA74"/>
    <mergeCell ref="X75:AA75"/>
    <mergeCell ref="X76:AA76"/>
    <mergeCell ref="X58:AA58"/>
    <mergeCell ref="X60:AA60"/>
    <mergeCell ref="X62:AA62"/>
    <mergeCell ref="X63:AA63"/>
    <mergeCell ref="X64:AA64"/>
    <mergeCell ref="X65:AA65"/>
    <mergeCell ref="X66:AA66"/>
    <mergeCell ref="X67:AA67"/>
    <mergeCell ref="X68:AA68"/>
    <mergeCell ref="X56:AA56"/>
    <mergeCell ref="B14:F15"/>
    <mergeCell ref="Q14:X14"/>
    <mergeCell ref="X40:AB40"/>
    <mergeCell ref="X41:AB41"/>
    <mergeCell ref="X42:AB42"/>
    <mergeCell ref="S34:W34"/>
    <mergeCell ref="X34:AB34"/>
    <mergeCell ref="B33:G34"/>
    <mergeCell ref="S33:AB33"/>
    <mergeCell ref="X35:AB35"/>
    <mergeCell ref="X36:AB36"/>
    <mergeCell ref="X37:AB37"/>
    <mergeCell ref="X38:AB38"/>
    <mergeCell ref="X39:AB39"/>
    <mergeCell ref="B36:G36"/>
    <mergeCell ref="B37:G37"/>
    <mergeCell ref="B38:G38"/>
    <mergeCell ref="B39:G39"/>
    <mergeCell ref="U16:X16"/>
    <mergeCell ref="Y16:AB16"/>
    <mergeCell ref="Y14:AB15"/>
    <mergeCell ref="I14:P14"/>
    <mergeCell ref="M15:P15"/>
    <mergeCell ref="Q15:T15"/>
    <mergeCell ref="B40:G40"/>
    <mergeCell ref="B41:G41"/>
    <mergeCell ref="B18:F18"/>
    <mergeCell ref="I18:L18"/>
    <mergeCell ref="M18:P18"/>
    <mergeCell ref="Q18:T18"/>
    <mergeCell ref="U18:X18"/>
    <mergeCell ref="Y18:AB25"/>
    <mergeCell ref="B19:F19"/>
    <mergeCell ref="G19:H19"/>
    <mergeCell ref="I19:L19"/>
    <mergeCell ref="M19:P19"/>
    <mergeCell ref="Q19:T19"/>
    <mergeCell ref="U19:X19"/>
    <mergeCell ref="B20:F20"/>
    <mergeCell ref="G20:H20"/>
    <mergeCell ref="I20:L20"/>
    <mergeCell ref="M20:P20"/>
    <mergeCell ref="Q20:T20"/>
    <mergeCell ref="U20:X20"/>
    <mergeCell ref="B21:F21"/>
    <mergeCell ref="G21:H21"/>
    <mergeCell ref="I21:L21"/>
    <mergeCell ref="M21:P21"/>
    <mergeCell ref="Q21:T21"/>
    <mergeCell ref="G18:H18"/>
    <mergeCell ref="U27:X27"/>
    <mergeCell ref="Y27:AB27"/>
    <mergeCell ref="U21:X21"/>
    <mergeCell ref="B22:F22"/>
    <mergeCell ref="G22:H22"/>
    <mergeCell ref="I22:L22"/>
    <mergeCell ref="M22:P22"/>
    <mergeCell ref="Q22:T22"/>
    <mergeCell ref="U22:X22"/>
    <mergeCell ref="B25:F25"/>
    <mergeCell ref="G25:H25"/>
    <mergeCell ref="I25:L25"/>
    <mergeCell ref="M25:P25"/>
    <mergeCell ref="Q25:T25"/>
    <mergeCell ref="U25:X25"/>
    <mergeCell ref="M27:P27"/>
    <mergeCell ref="I27:L27"/>
    <mergeCell ref="Q27:T27"/>
    <mergeCell ref="B23:F23"/>
    <mergeCell ref="G23:H23"/>
    <mergeCell ref="I23:L23"/>
    <mergeCell ref="M23:P23"/>
    <mergeCell ref="K33:R33"/>
    <mergeCell ref="K34:N34"/>
    <mergeCell ref="O34:R34"/>
    <mergeCell ref="H33:J34"/>
    <mergeCell ref="H36:J36"/>
    <mergeCell ref="H37:J37"/>
    <mergeCell ref="H38:J38"/>
    <mergeCell ref="H39:J39"/>
    <mergeCell ref="H40:J40"/>
    <mergeCell ref="K36:N36"/>
    <mergeCell ref="O36:R36"/>
    <mergeCell ref="K37:N37"/>
    <mergeCell ref="O37:R37"/>
    <mergeCell ref="K38:N38"/>
    <mergeCell ref="O38:R38"/>
    <mergeCell ref="K39:N39"/>
    <mergeCell ref="O39:R39"/>
    <mergeCell ref="K40:N40"/>
    <mergeCell ref="O40:R40"/>
  </mergeCells>
  <printOptions horizontalCentered="1"/>
  <pageMargins left="0.7" right="0.7" top="0.75" bottom="0.75" header="0.3" footer="0.3"/>
  <pageSetup paperSize="5" scale="61" fitToHeight="0" orientation="portrait" r:id="rId1"/>
  <headerFooter alignWithMargins="0">
    <oddHeader>&amp;R&amp;"Arial,Bold"&amp;14C.2.1.&amp;P</oddHeader>
    <oddFooter>&amp;L&amp;8Page &amp;P of &amp;N&amp;R&amp;8Printed on &amp;D,&amp;T</oddFooter>
  </headerFooter>
  <rowBreaks count="2" manualBreakCount="2">
    <brk id="44" max="16383" man="1"/>
    <brk id="80" max="28" man="1"/>
  </rowBreaks>
  <drawing r:id="rId2"/>
</worksheet>
</file>

<file path=xl/worksheets/sheet20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92d050"/>
  </sheetPr>
  <dimension ref="A2:AK185"/>
  <sheetViews>
    <sheetView zoomScale="75" zoomScaleNormal="75" view="pageBreakPreview" workbookViewId="0">
      <selection pane="topLeft" activeCell="R184" sqref="R184"/>
    </sheetView>
  </sheetViews>
  <sheetFormatPr defaultColWidth="4.421875" defaultRowHeight="12.75" baseColWidth="0"/>
  <cols>
    <col min="1" max="36" width="4.421875" style="409" customWidth="1"/>
    <col min="37" max="37" width="7.7109375" style="409" customWidth="1"/>
    <col min="38" max="16384" width="4.421875" style="409" customWidth="1"/>
  </cols>
  <sheetData>
    <row r="2" spans="1:1" ht="20.25" customHeight="1">
      <c r="A2" s="418"/>
    </row>
    <row r="3" spans="1:1" ht="20.25" customHeight="1">
      <c r="A3" s="418"/>
    </row>
    <row r="4" spans="1:6" ht="20.25" customHeight="1">
      <c r="A4" s="418" t="s">
        <v>203</v>
      </c>
      <c r="E4" s="2781" t="s">
        <v>479</v>
      </c>
      <c r="F4" s="2781"/>
    </row>
    <row r="5" spans="1:5" ht="5.25" customHeight="1">
      <c r="A5" s="418"/>
      <c r="E5" s="418"/>
    </row>
    <row r="6" spans="1:29" ht="8.25" customHeight="1">
      <c r="A6" s="385"/>
      <c r="B6" s="385"/>
      <c r="C6" s="385"/>
      <c r="D6" s="385"/>
      <c r="E6" s="385"/>
      <c r="F6" s="385"/>
      <c r="G6" s="385"/>
      <c r="H6" s="385"/>
      <c r="I6" s="385"/>
      <c r="J6" s="385"/>
      <c r="K6" s="385"/>
      <c r="L6" s="385"/>
      <c r="M6" s="385"/>
      <c r="N6" s="385"/>
      <c r="O6" s="385"/>
      <c r="P6" s="385"/>
      <c r="Q6" s="385"/>
      <c r="R6" s="385"/>
      <c r="S6" s="385"/>
      <c r="T6" s="385"/>
      <c r="U6" s="385"/>
      <c r="V6" s="385"/>
      <c r="W6" s="385"/>
      <c r="X6" s="385"/>
      <c r="Y6" s="385"/>
      <c r="Z6" s="385"/>
      <c r="AA6" s="385"/>
      <c r="AB6" s="385"/>
      <c r="AC6" s="385"/>
    </row>
    <row r="8" spans="1:29">
      <c r="A8" s="419" t="s">
        <v>316</v>
      </c>
      <c r="B8" s="420"/>
      <c r="C8" s="420"/>
      <c r="D8" s="420"/>
      <c r="E8" s="420"/>
      <c r="F8" s="420"/>
      <c r="G8" s="420"/>
      <c r="H8" s="420"/>
      <c r="I8" s="420"/>
      <c r="J8" s="420"/>
      <c r="K8" s="420"/>
      <c r="L8" s="420"/>
      <c r="M8" s="420"/>
      <c r="N8" s="420"/>
      <c r="O8" s="420"/>
      <c r="P8" s="420"/>
      <c r="Q8" s="420"/>
      <c r="R8" s="420"/>
      <c r="S8" s="420"/>
      <c r="T8" s="420"/>
      <c r="U8" s="420"/>
      <c r="V8" s="420"/>
      <c r="W8" s="420"/>
      <c r="X8" s="420"/>
      <c r="Y8" s="420"/>
      <c r="Z8" s="420"/>
      <c r="AA8" s="420"/>
      <c r="AB8" s="420"/>
      <c r="AC8" s="420"/>
    </row>
    <row r="9" spans="1:29">
      <c r="A9" s="421"/>
      <c r="B9" s="421"/>
      <c r="C9" s="421"/>
      <c r="D9" s="421"/>
      <c r="E9" s="421"/>
      <c r="F9" s="421"/>
      <c r="G9" s="421"/>
      <c r="H9" s="421"/>
      <c r="I9" s="421"/>
      <c r="J9" s="421"/>
      <c r="K9" s="421"/>
      <c r="L9" s="421"/>
      <c r="M9" s="421"/>
      <c r="N9" s="421"/>
      <c r="O9" s="421"/>
      <c r="P9" s="421"/>
      <c r="Q9" s="421"/>
      <c r="R9" s="421"/>
      <c r="S9" s="421"/>
      <c r="T9" s="421"/>
      <c r="U9" s="421"/>
      <c r="V9" s="421"/>
      <c r="W9" s="421"/>
      <c r="X9" s="421"/>
      <c r="Y9" s="421"/>
      <c r="Z9" s="421"/>
      <c r="AA9" s="421"/>
      <c r="AB9" s="421"/>
      <c r="AC9" s="421"/>
    </row>
    <row r="10" spans="1:30" ht="20.25" customHeight="1">
      <c r="A10" s="422" t="s">
        <v>317</v>
      </c>
      <c r="B10" s="421"/>
      <c r="C10" s="421"/>
      <c r="D10" s="421"/>
      <c r="E10" s="421"/>
      <c r="F10" s="421"/>
      <c r="G10" s="421"/>
      <c r="H10" s="421"/>
      <c r="I10" s="421"/>
      <c r="J10" s="421"/>
      <c r="K10" s="421"/>
      <c r="L10" s="421"/>
      <c r="M10" s="421"/>
      <c r="N10" s="421"/>
      <c r="O10" s="421"/>
      <c r="P10" s="421"/>
      <c r="Q10" s="421"/>
      <c r="R10" s="421"/>
      <c r="S10" s="421"/>
      <c r="T10" s="421"/>
      <c r="U10" s="421"/>
      <c r="V10" s="421"/>
      <c r="W10" s="421"/>
      <c r="X10" s="421"/>
      <c r="Y10" s="421"/>
      <c r="Z10" s="421"/>
      <c r="AA10" s="421"/>
      <c r="AB10" s="421"/>
      <c r="AC10" s="421"/>
      <c r="AD10" s="421"/>
    </row>
    <row r="11" spans="1:30">
      <c r="A11" s="421"/>
      <c r="B11" s="421"/>
      <c r="C11" s="421"/>
      <c r="D11" s="421"/>
      <c r="E11" s="421"/>
      <c r="F11" s="421"/>
      <c r="G11" s="421"/>
      <c r="H11" s="421"/>
      <c r="I11" s="421"/>
      <c r="J11" s="421"/>
      <c r="K11" s="421"/>
      <c r="L11" s="421"/>
      <c r="M11" s="421"/>
      <c r="N11" s="421"/>
      <c r="O11" s="421"/>
      <c r="P11" s="421"/>
      <c r="Q11" s="421"/>
      <c r="R11" s="421"/>
      <c r="S11" s="421"/>
      <c r="T11" s="421"/>
      <c r="U11" s="421"/>
      <c r="V11" s="421"/>
      <c r="W11" s="421"/>
      <c r="X11" s="421"/>
      <c r="Y11" s="421"/>
      <c r="Z11" s="421"/>
      <c r="AA11" s="421"/>
      <c r="AB11" s="421"/>
      <c r="AC11" s="421"/>
      <c r="AD11" s="421"/>
    </row>
    <row r="12" spans="1:30">
      <c r="A12" s="423" t="s">
        <v>318</v>
      </c>
      <c r="B12" s="421"/>
      <c r="C12" s="421"/>
      <c r="D12" s="421"/>
      <c r="E12" s="421"/>
      <c r="F12" s="421"/>
      <c r="G12" s="421"/>
      <c r="H12" s="421"/>
      <c r="I12" s="421"/>
      <c r="J12" s="421"/>
      <c r="K12" s="421"/>
      <c r="L12" s="421"/>
      <c r="M12" s="421"/>
      <c r="N12" s="421"/>
      <c r="O12" s="421"/>
      <c r="P12" s="421"/>
      <c r="Q12" s="421"/>
      <c r="R12" s="421"/>
      <c r="S12" s="421"/>
      <c r="T12" s="421"/>
      <c r="U12" s="421"/>
      <c r="V12" s="421"/>
      <c r="W12" s="421"/>
      <c r="X12" s="421"/>
      <c r="Y12" s="421"/>
      <c r="Z12" s="421"/>
      <c r="AA12" s="421"/>
      <c r="AB12" s="421"/>
      <c r="AC12" s="421"/>
      <c r="AD12" s="421"/>
    </row>
    <row r="13" spans="1:30">
      <c r="A13" s="421"/>
      <c r="B13" s="424" t="s">
        <v>319</v>
      </c>
      <c r="C13" s="421"/>
      <c r="D13" s="421"/>
      <c r="E13" s="421"/>
      <c r="F13" s="421"/>
      <c r="G13" s="421"/>
      <c r="H13" s="421"/>
      <c r="I13" s="425"/>
      <c r="J13" s="426">
        <f>netempincome-empbonus</f>
        <v>231941937</v>
      </c>
      <c r="K13" s="426"/>
      <c r="L13" s="426"/>
      <c r="M13" s="426"/>
      <c r="N13" s="421"/>
      <c r="O13" s="421"/>
      <c r="P13" s="421"/>
      <c r="Q13" s="421"/>
      <c r="R13" s="421"/>
      <c r="S13" s="421"/>
      <c r="T13" s="421"/>
      <c r="U13" s="421"/>
      <c r="V13" s="421"/>
      <c r="W13" s="421"/>
      <c r="X13" s="421"/>
      <c r="Y13" s="421"/>
      <c r="Z13" s="421"/>
      <c r="AA13" s="421"/>
      <c r="AB13" s="421"/>
      <c r="AC13" s="421"/>
      <c r="AD13" s="421"/>
    </row>
    <row r="14" spans="1:30">
      <c r="A14" s="421"/>
      <c r="B14" s="424" t="s">
        <v>320</v>
      </c>
      <c r="C14" s="421"/>
      <c r="D14" s="421"/>
      <c r="E14" s="421"/>
      <c r="F14" s="421"/>
      <c r="G14" s="421"/>
      <c r="H14" s="421"/>
      <c r="I14" s="421"/>
      <c r="J14" s="2774">
        <f>empbonus</f>
        <v>0</v>
      </c>
      <c r="K14" s="2774"/>
      <c r="L14" s="2774"/>
      <c r="M14" s="2774"/>
      <c r="N14" s="421"/>
      <c r="O14" s="421"/>
      <c r="P14" s="421"/>
      <c r="Q14" s="421"/>
      <c r="R14" s="421"/>
      <c r="S14" s="421"/>
      <c r="T14" s="421"/>
      <c r="U14" s="421"/>
      <c r="V14" s="421"/>
      <c r="W14" s="421"/>
      <c r="X14" s="421"/>
      <c r="Y14" s="421"/>
      <c r="Z14" s="421"/>
      <c r="AA14" s="421"/>
      <c r="AB14" s="421"/>
      <c r="AC14" s="421"/>
      <c r="AD14" s="421"/>
    </row>
    <row r="15" spans="1:30">
      <c r="A15" s="421"/>
      <c r="B15" s="424" t="s">
        <v>321</v>
      </c>
      <c r="C15" s="421"/>
      <c r="D15" s="421"/>
      <c r="E15" s="421"/>
      <c r="F15" s="421"/>
      <c r="G15" s="421"/>
      <c r="H15" s="421"/>
      <c r="I15" s="421"/>
      <c r="J15" s="421"/>
      <c r="K15" s="421"/>
      <c r="L15" s="421"/>
      <c r="M15" s="421"/>
      <c r="N15" s="426">
        <f>SUM(J13:M14)</f>
        <v>231941937</v>
      </c>
      <c r="O15" s="426"/>
      <c r="P15" s="426"/>
      <c r="Q15" s="426"/>
      <c r="R15" s="421"/>
      <c r="S15" s="421"/>
      <c r="T15" s="421"/>
      <c r="U15" s="421"/>
      <c r="V15" s="421"/>
      <c r="W15" s="421"/>
      <c r="X15" s="421"/>
      <c r="Y15" s="421"/>
      <c r="Z15" s="421"/>
      <c r="AA15" s="421"/>
      <c r="AB15" s="421"/>
      <c r="AC15" s="421"/>
      <c r="AD15" s="421"/>
    </row>
    <row r="16" spans="1:30">
      <c r="A16" s="421"/>
      <c r="B16" s="421" t="s">
        <v>322</v>
      </c>
      <c r="C16" s="421"/>
      <c r="D16" s="421"/>
      <c r="E16" s="421"/>
      <c r="F16" s="421"/>
      <c r="G16" s="421"/>
      <c r="H16" s="421"/>
      <c r="I16" s="421"/>
      <c r="J16" s="421"/>
      <c r="K16" s="421"/>
      <c r="L16" s="421"/>
      <c r="M16" s="421"/>
      <c r="N16" s="426">
        <f>netdomesticincome</f>
        <v>0</v>
      </c>
      <c r="O16" s="426"/>
      <c r="P16" s="426"/>
      <c r="Q16" s="426"/>
      <c r="R16" s="421"/>
      <c r="S16" s="421"/>
      <c r="T16" s="421"/>
      <c r="U16" s="421"/>
      <c r="V16" s="421"/>
      <c r="W16" s="421"/>
      <c r="X16" s="421"/>
      <c r="Y16" s="421"/>
      <c r="Z16" s="421"/>
      <c r="AA16" s="421"/>
      <c r="AB16" s="421"/>
      <c r="AC16" s="421"/>
      <c r="AD16" s="421"/>
    </row>
    <row r="17" spans="1:30">
      <c r="A17" s="421"/>
      <c r="B17" s="421" t="s">
        <v>323</v>
      </c>
      <c r="C17" s="421"/>
      <c r="D17" s="421"/>
      <c r="E17" s="421"/>
      <c r="F17" s="421"/>
      <c r="G17" s="421"/>
      <c r="H17" s="421"/>
      <c r="I17" s="421"/>
      <c r="J17" s="421"/>
      <c r="K17" s="421"/>
      <c r="L17" s="421"/>
      <c r="M17" s="421"/>
      <c r="N17" s="2774">
        <f>IF(totaloverseasincome&lt;0,0,totaloverseasincome)</f>
        <v>290395578</v>
      </c>
      <c r="O17" s="2774"/>
      <c r="P17" s="2774"/>
      <c r="Q17" s="2774"/>
      <c r="R17" s="421"/>
      <c r="S17" s="421"/>
      <c r="T17" s="421"/>
      <c r="U17" s="421"/>
      <c r="V17" s="421"/>
      <c r="W17" s="421"/>
      <c r="X17" s="421"/>
      <c r="Y17" s="421"/>
      <c r="Z17" s="421"/>
      <c r="AA17" s="421"/>
      <c r="AB17" s="421"/>
      <c r="AC17" s="421"/>
      <c r="AD17" s="421"/>
    </row>
    <row r="18" spans="1:30">
      <c r="A18" s="421"/>
      <c r="B18" s="421" t="s">
        <v>324</v>
      </c>
      <c r="C18" s="421"/>
      <c r="D18" s="421"/>
      <c r="E18" s="421"/>
      <c r="F18" s="421"/>
      <c r="G18" s="421"/>
      <c r="H18" s="421"/>
      <c r="I18" s="421"/>
      <c r="J18" s="421" t="s">
        <v>196</v>
      </c>
      <c r="K18" s="421"/>
      <c r="L18" s="421"/>
      <c r="M18" s="421"/>
      <c r="N18" s="421"/>
      <c r="O18" s="421"/>
      <c r="P18" s="421"/>
      <c r="Q18" s="421"/>
      <c r="R18" s="2774">
        <f>SUM(N15:Q17)</f>
        <v>522337515</v>
      </c>
      <c r="S18" s="2774"/>
      <c r="T18" s="2774"/>
      <c r="U18" s="2774"/>
      <c r="V18" s="425"/>
      <c r="W18" s="421"/>
      <c r="X18" s="421"/>
      <c r="Y18" s="421"/>
      <c r="Z18" s="421"/>
      <c r="AA18" s="421"/>
      <c r="AB18" s="421"/>
      <c r="AC18" s="421"/>
      <c r="AD18" s="421"/>
    </row>
    <row r="19" spans="1:30">
      <c r="A19" s="421"/>
      <c r="B19" s="421"/>
      <c r="C19" s="421"/>
      <c r="D19" s="421"/>
      <c r="E19" s="421"/>
      <c r="F19" s="421"/>
      <c r="G19" s="421"/>
      <c r="H19" s="421"/>
      <c r="I19" s="421"/>
      <c r="J19" s="421"/>
      <c r="K19" s="421"/>
      <c r="L19" s="421"/>
      <c r="M19" s="421"/>
      <c r="N19" s="421"/>
      <c r="O19" s="421"/>
      <c r="P19" s="421"/>
      <c r="Q19" s="421"/>
      <c r="R19" s="421"/>
      <c r="S19" s="421"/>
      <c r="T19" s="421"/>
      <c r="U19" s="421"/>
      <c r="V19" s="421"/>
      <c r="W19" s="421"/>
      <c r="X19" s="421"/>
      <c r="Y19" s="421"/>
      <c r="Z19" s="421"/>
      <c r="AA19" s="421"/>
      <c r="AB19" s="421"/>
      <c r="AC19" s="421"/>
      <c r="AD19" s="421"/>
    </row>
    <row r="20" spans="1:30">
      <c r="A20" s="423" t="s">
        <v>325</v>
      </c>
      <c r="B20" s="421"/>
      <c r="C20" s="421"/>
      <c r="D20" s="421"/>
      <c r="E20" s="421"/>
      <c r="F20" s="421"/>
      <c r="G20" s="421"/>
      <c r="H20" s="421"/>
      <c r="I20" s="421"/>
      <c r="J20" s="421"/>
      <c r="K20" s="421"/>
      <c r="L20" s="421"/>
      <c r="M20" s="421"/>
      <c r="N20" s="421"/>
      <c r="O20" s="421"/>
      <c r="P20" s="421"/>
      <c r="Q20" s="421"/>
      <c r="R20" s="421"/>
      <c r="S20" s="421"/>
      <c r="T20" s="421"/>
      <c r="U20" s="421"/>
      <c r="V20" s="421"/>
      <c r="W20" s="421"/>
      <c r="X20" s="423" t="s">
        <v>326</v>
      </c>
      <c r="Y20" s="421"/>
      <c r="Z20" s="421"/>
      <c r="AA20" s="421"/>
      <c r="AB20" s="421"/>
      <c r="AC20" s="421"/>
      <c r="AD20" s="421"/>
    </row>
    <row r="21" spans="1:37">
      <c r="A21" s="421"/>
      <c r="B21" s="421" t="s">
        <v>319</v>
      </c>
      <c r="C21" s="421"/>
      <c r="D21" s="421"/>
      <c r="E21" s="421"/>
      <c r="F21" s="421"/>
      <c r="G21" s="421"/>
      <c r="H21" s="421"/>
      <c r="I21" s="421"/>
      <c r="J21" s="426">
        <f>J13/WORKPERIOD*12</f>
        <v>463883874</v>
      </c>
      <c r="K21" s="426"/>
      <c r="L21" s="426"/>
      <c r="M21" s="426"/>
      <c r="N21" s="426"/>
      <c r="O21" s="421"/>
      <c r="P21" s="421"/>
      <c r="Q21" s="421"/>
      <c r="R21" s="421"/>
      <c r="S21" s="421"/>
      <c r="T21" s="421"/>
      <c r="U21" s="421"/>
      <c r="V21" s="421"/>
      <c r="W21" s="421"/>
      <c r="X21" s="421"/>
      <c r="Y21" s="421" t="s">
        <v>327</v>
      </c>
      <c r="Z21" s="421"/>
      <c r="AA21" s="421"/>
      <c r="AB21" s="421"/>
      <c r="AC21" s="421"/>
      <c r="AD21" s="421"/>
      <c r="AF21" s="2751">
        <f>IF(annempincome&lt;=0,0,(INT(J$21/1000)*1000)-personalreliefs)</f>
        <v>409883874</v>
      </c>
      <c r="AG21" s="2751"/>
      <c r="AH21" s="2751"/>
      <c r="AI21" s="2751"/>
      <c r="AK21" s="427" t="e">
        <f>IF(AND(AF21&lt;=0),"A",IF(AND(AF21&lt;=50000000),"B",IF(AND(AF21&gt;50000000,AF21&lt;=250000000),"C",IF(AND(AF21&gt;250000000,AF21&lt;=500000000),"D","E"))))</f>
        <v>#DIV/0!</v>
      </c>
    </row>
    <row r="22" spans="1:35">
      <c r="A22" s="421"/>
      <c r="B22" s="421" t="s">
        <v>320</v>
      </c>
      <c r="C22" s="421"/>
      <c r="D22" s="421"/>
      <c r="E22" s="421"/>
      <c r="F22" s="421"/>
      <c r="G22" s="421"/>
      <c r="H22" s="421"/>
      <c r="I22" s="421"/>
      <c r="J22" s="2774">
        <f>J14/WORKPERIOD*12</f>
        <v>0</v>
      </c>
      <c r="K22" s="2774"/>
      <c r="L22" s="2774"/>
      <c r="M22" s="2774"/>
      <c r="N22" s="426"/>
      <c r="O22" s="421"/>
      <c r="P22" s="421"/>
      <c r="Q22" s="421"/>
      <c r="R22" s="421"/>
      <c r="S22" s="421"/>
      <c r="T22" s="421"/>
      <c r="U22" s="421"/>
      <c r="V22" s="421"/>
      <c r="W22" s="421"/>
      <c r="X22" s="421"/>
      <c r="Y22" s="421" t="s">
        <v>328</v>
      </c>
      <c r="Z22" s="421"/>
      <c r="AA22" s="421"/>
      <c r="AB22" s="421"/>
      <c r="AC22" s="421"/>
      <c r="AD22" s="421"/>
      <c r="AF22" s="2760">
        <f>J$22</f>
        <v>0</v>
      </c>
      <c r="AG22" s="2760"/>
      <c r="AH22" s="2760"/>
      <c r="AI22" s="2760"/>
    </row>
    <row r="23" spans="1:37">
      <c r="A23" s="421"/>
      <c r="B23" s="424" t="s">
        <v>321</v>
      </c>
      <c r="C23" s="421"/>
      <c r="D23" s="421"/>
      <c r="E23" s="421"/>
      <c r="F23" s="421"/>
      <c r="G23" s="421"/>
      <c r="H23" s="421"/>
      <c r="I23" s="421"/>
      <c r="J23" s="421"/>
      <c r="K23" s="421"/>
      <c r="L23" s="421"/>
      <c r="M23" s="428"/>
      <c r="N23" s="426">
        <f>J21+J22</f>
        <v>463883874</v>
      </c>
      <c r="O23" s="426"/>
      <c r="P23" s="426"/>
      <c r="Q23" s="426"/>
      <c r="R23" s="421"/>
      <c r="S23" s="421"/>
      <c r="T23" s="421"/>
      <c r="U23" s="421"/>
      <c r="V23" s="421"/>
      <c r="W23" s="421"/>
      <c r="X23" s="421"/>
      <c r="Y23" s="421" t="s">
        <v>329</v>
      </c>
      <c r="Z23" s="421"/>
      <c r="AA23" s="421"/>
      <c r="AB23" s="421"/>
      <c r="AC23" s="421"/>
      <c r="AD23" s="421"/>
      <c r="AF23" s="2751">
        <f>IF(N23&lt;=0,0,(INT(N$23/1000)*1000)-personalreliefs)</f>
        <v>409883874</v>
      </c>
      <c r="AG23" s="2751"/>
      <c r="AH23" s="2751"/>
      <c r="AI23" s="2751"/>
      <c r="AK23" s="427" t="e">
        <f>IF(AND(AF23&lt;=0),"A",IF(AND(AF23&lt;=50000000),"B",IF(AND(AF23&gt;50000000,AF23&lt;=250000000),"C",IF(AND(AF23&gt;250000000,AF23&lt;=500000000),"D","E"))))</f>
        <v>#DIV/0!</v>
      </c>
    </row>
    <row r="24" spans="1:37">
      <c r="A24" s="421"/>
      <c r="B24" s="421" t="s">
        <v>322</v>
      </c>
      <c r="C24" s="421"/>
      <c r="D24" s="421"/>
      <c r="E24" s="421"/>
      <c r="F24" s="421"/>
      <c r="G24" s="421"/>
      <c r="H24" s="421"/>
      <c r="I24" s="421"/>
      <c r="J24" s="421"/>
      <c r="K24" s="421"/>
      <c r="L24" s="421"/>
      <c r="M24" s="421"/>
      <c r="N24" s="2782">
        <f>N16/WORKPERIOD*12</f>
        <v>0</v>
      </c>
      <c r="O24" s="2782"/>
      <c r="P24" s="2782"/>
      <c r="Q24" s="2782"/>
      <c r="R24" s="421"/>
      <c r="S24" s="421"/>
      <c r="T24" s="421"/>
      <c r="U24" s="421"/>
      <c r="V24" s="421"/>
      <c r="W24" s="421"/>
      <c r="X24" s="421"/>
      <c r="Y24" s="421"/>
      <c r="Z24" s="421"/>
      <c r="AA24" s="421"/>
      <c r="AB24" s="421"/>
      <c r="AC24" s="421"/>
      <c r="AD24" s="421"/>
      <c r="AF24" s="2751"/>
      <c r="AG24" s="2751"/>
      <c r="AH24" s="2751"/>
      <c r="AI24" s="2751"/>
      <c r="AK24" s="427"/>
    </row>
    <row r="25" spans="1:35">
      <c r="A25" s="421"/>
      <c r="B25" s="421" t="s">
        <v>323</v>
      </c>
      <c r="C25" s="421"/>
      <c r="D25" s="421"/>
      <c r="E25" s="421"/>
      <c r="F25" s="421"/>
      <c r="G25" s="421"/>
      <c r="H25" s="421"/>
      <c r="I25" s="421"/>
      <c r="J25" s="421"/>
      <c r="K25" s="421"/>
      <c r="L25" s="421"/>
      <c r="M25" s="421"/>
      <c r="N25" s="2780">
        <f>N17/WORKPERIOD*12</f>
        <v>580791156</v>
      </c>
      <c r="O25" s="2780"/>
      <c r="P25" s="2780"/>
      <c r="Q25" s="2780"/>
      <c r="R25" s="421"/>
      <c r="S25" s="421"/>
      <c r="T25" s="421"/>
      <c r="U25" s="421"/>
      <c r="V25" s="421"/>
      <c r="W25" s="421"/>
      <c r="X25" s="421"/>
      <c r="Y25" s="421"/>
      <c r="Z25" s="421"/>
      <c r="AA25" s="421"/>
      <c r="AB25" s="421"/>
      <c r="AC25" s="421"/>
      <c r="AD25" s="421"/>
      <c r="AF25" s="2751"/>
      <c r="AG25" s="2751"/>
      <c r="AH25" s="2751"/>
      <c r="AI25" s="2751"/>
    </row>
    <row r="26" spans="1:37">
      <c r="A26" s="421"/>
      <c r="B26" s="421" t="s">
        <v>330</v>
      </c>
      <c r="C26" s="421"/>
      <c r="D26" s="421"/>
      <c r="E26" s="421"/>
      <c r="F26" s="421"/>
      <c r="G26" s="421"/>
      <c r="H26" s="421"/>
      <c r="I26" s="421"/>
      <c r="J26" s="421"/>
      <c r="K26" s="421"/>
      <c r="L26" s="421"/>
      <c r="M26" s="426"/>
      <c r="N26" s="426"/>
      <c r="O26" s="426"/>
      <c r="P26" s="426"/>
      <c r="Q26" s="426"/>
      <c r="R26" s="2776">
        <f>SUM(N23:Q25)</f>
        <v>1044675030</v>
      </c>
      <c r="S26" s="428"/>
      <c r="T26" s="428"/>
      <c r="U26" s="428"/>
      <c r="V26" s="421"/>
      <c r="W26" s="421"/>
      <c r="X26" s="421"/>
      <c r="Y26" s="421"/>
      <c r="Z26" s="421"/>
      <c r="AA26" s="421"/>
      <c r="AB26" s="421"/>
      <c r="AC26" s="421"/>
      <c r="AD26" s="421"/>
      <c r="AF26" s="2751"/>
      <c r="AG26" s="2751"/>
      <c r="AH26" s="2751"/>
      <c r="AI26" s="2751"/>
      <c r="AK26" s="427"/>
    </row>
    <row r="27" spans="1:30">
      <c r="A27" s="421"/>
      <c r="B27" s="421"/>
      <c r="C27" s="421"/>
      <c r="D27" s="421"/>
      <c r="E27" s="421"/>
      <c r="F27" s="421"/>
      <c r="G27" s="421"/>
      <c r="H27" s="421"/>
      <c r="I27" s="421"/>
      <c r="J27" s="421"/>
      <c r="K27" s="421"/>
      <c r="L27" s="421"/>
      <c r="M27" s="421"/>
      <c r="N27" s="421"/>
      <c r="O27" s="421"/>
      <c r="P27" s="421"/>
      <c r="Q27" s="421"/>
      <c r="R27" s="421"/>
      <c r="S27" s="421"/>
      <c r="T27" s="421"/>
      <c r="U27" s="421"/>
      <c r="V27" s="421"/>
      <c r="W27" s="421"/>
      <c r="X27" s="421"/>
      <c r="Y27" s="421"/>
      <c r="Z27" s="421"/>
      <c r="AA27" s="421"/>
      <c r="AB27" s="421"/>
      <c r="AC27" s="421"/>
      <c r="AD27" s="421"/>
    </row>
    <row r="28" spans="1:30">
      <c r="A28" s="423" t="s">
        <v>222</v>
      </c>
      <c r="B28" s="421"/>
      <c r="C28" s="421"/>
      <c r="D28" s="421"/>
      <c r="E28" s="421"/>
      <c r="F28" s="421"/>
      <c r="G28" s="421"/>
      <c r="H28" s="421"/>
      <c r="I28" s="421"/>
      <c r="J28" s="421"/>
      <c r="K28" s="421"/>
      <c r="L28" s="421"/>
      <c r="M28" s="421"/>
      <c r="N28" s="421"/>
      <c r="O28" s="421"/>
      <c r="P28" s="421"/>
      <c r="Q28" s="421"/>
      <c r="R28" s="2777">
        <f>IF(OR('GENERAL INFO'!K5="X",'GENERAL INFO'!K10=""),personalreliefs,0)</f>
        <v>54000000</v>
      </c>
      <c r="S28" s="2777"/>
      <c r="T28" s="2777"/>
      <c r="U28" s="2777"/>
      <c r="V28" s="421"/>
      <c r="W28" s="421"/>
      <c r="X28" s="421"/>
      <c r="Y28" s="421"/>
      <c r="Z28" s="421"/>
      <c r="AA28" s="421"/>
      <c r="AB28" s="421"/>
      <c r="AC28" s="421"/>
      <c r="AD28" s="421"/>
    </row>
    <row r="29" spans="1:30">
      <c r="A29" s="423"/>
      <c r="B29" s="421"/>
      <c r="C29" s="421"/>
      <c r="D29" s="421"/>
      <c r="E29" s="421"/>
      <c r="F29" s="421"/>
      <c r="G29" s="421"/>
      <c r="H29" s="421"/>
      <c r="I29" s="421"/>
      <c r="J29" s="421"/>
      <c r="K29" s="421"/>
      <c r="L29" s="421"/>
      <c r="M29" s="421"/>
      <c r="N29" s="421"/>
      <c r="O29" s="421"/>
      <c r="P29" s="421"/>
      <c r="Q29" s="421"/>
      <c r="R29" s="421"/>
      <c r="S29" s="421"/>
      <c r="T29" s="421"/>
      <c r="U29" s="421"/>
      <c r="V29" s="421"/>
      <c r="W29" s="421"/>
      <c r="X29" s="421"/>
      <c r="Y29" s="421"/>
      <c r="Z29" s="421"/>
      <c r="AA29" s="421"/>
      <c r="AB29" s="421"/>
      <c r="AC29" s="421"/>
      <c r="AD29" s="421"/>
    </row>
    <row r="30" spans="1:30">
      <c r="A30" s="423" t="s">
        <v>331</v>
      </c>
      <c r="B30" s="421"/>
      <c r="C30" s="421"/>
      <c r="D30" s="421"/>
      <c r="E30" s="421"/>
      <c r="F30" s="421"/>
      <c r="G30" s="421"/>
      <c r="H30" s="421"/>
      <c r="I30" s="421"/>
      <c r="J30" s="421"/>
      <c r="K30" s="421"/>
      <c r="L30" s="421"/>
      <c r="M30" s="421"/>
      <c r="N30" s="421"/>
      <c r="O30" s="421"/>
      <c r="P30" s="421"/>
      <c r="Q30" s="421"/>
      <c r="R30" s="2778">
        <f>IF(AND('GENERAL INFO'!K6="X"),IF(AF36&lt;0,0,AF36),0)</f>
        <v>990675030</v>
      </c>
      <c r="S30" s="2779"/>
      <c r="T30" s="2779"/>
      <c r="U30" s="2779"/>
      <c r="V30" s="421"/>
      <c r="W30" s="421"/>
      <c r="X30" s="423" t="s">
        <v>326</v>
      </c>
      <c r="Y30" s="421"/>
      <c r="Z30" s="421"/>
      <c r="AA30" s="421"/>
      <c r="AB30" s="421"/>
      <c r="AC30" s="421"/>
      <c r="AD30" s="421"/>
    </row>
    <row r="31" spans="1:37">
      <c r="A31" s="423"/>
      <c r="B31" s="421"/>
      <c r="C31" s="421"/>
      <c r="D31" s="421"/>
      <c r="E31" s="421"/>
      <c r="F31" s="421"/>
      <c r="G31" s="421"/>
      <c r="H31" s="421"/>
      <c r="I31" s="421"/>
      <c r="J31" s="421"/>
      <c r="K31" s="421"/>
      <c r="L31" s="421"/>
      <c r="M31" s="421"/>
      <c r="N31" s="421"/>
      <c r="O31" s="421"/>
      <c r="P31" s="421"/>
      <c r="Q31" s="421"/>
      <c r="R31" s="421"/>
      <c r="S31" s="421"/>
      <c r="T31" s="421"/>
      <c r="U31" s="421"/>
      <c r="V31" s="421"/>
      <c r="W31" s="421"/>
      <c r="X31" s="421"/>
      <c r="Y31" s="421" t="s">
        <v>327</v>
      </c>
      <c r="Z31" s="421"/>
      <c r="AA31" s="421"/>
      <c r="AB31" s="421"/>
      <c r="AC31" s="421"/>
      <c r="AD31" s="421"/>
      <c r="AF31" s="2751">
        <f>J21-personalreliefs</f>
        <v>409883874</v>
      </c>
      <c r="AG31" s="2751"/>
      <c r="AH31" s="2751"/>
      <c r="AI31" s="2751"/>
      <c r="AK31" s="427" t="e">
        <f>IF(AND(AF31&lt;=0),"A",IF(AND(AF31&lt;=50000000),"B",IF(AND(AF31&gt;50000000,AF31&lt;=250000000),"C",IF(AND(AF31&gt;250000000,AF31&lt;=500000000),"D","E"))))</f>
        <v>#DIV/0!</v>
      </c>
    </row>
    <row r="32" spans="1:35">
      <c r="A32" s="423" t="s">
        <v>332</v>
      </c>
      <c r="B32" s="421"/>
      <c r="C32" s="421"/>
      <c r="D32" s="421"/>
      <c r="E32" s="421"/>
      <c r="F32" s="421"/>
      <c r="G32" s="421"/>
      <c r="H32" s="421"/>
      <c r="I32" s="421"/>
      <c r="J32" s="421"/>
      <c r="K32" s="421"/>
      <c r="L32" s="421"/>
      <c r="M32" s="421"/>
      <c r="N32" s="421"/>
      <c r="O32" s="421"/>
      <c r="P32" s="421"/>
      <c r="Q32" s="421"/>
      <c r="R32" s="421"/>
      <c r="S32" s="421"/>
      <c r="T32" s="421"/>
      <c r="U32" s="421"/>
      <c r="V32" s="421"/>
      <c r="W32" s="421"/>
      <c r="X32" s="421"/>
      <c r="Y32" s="421" t="s">
        <v>328</v>
      </c>
      <c r="Z32" s="421"/>
      <c r="AA32" s="421"/>
      <c r="AB32" s="421"/>
      <c r="AC32" s="421"/>
      <c r="AD32" s="421"/>
      <c r="AF32" s="2760">
        <f>J$22</f>
        <v>0</v>
      </c>
      <c r="AG32" s="2760"/>
      <c r="AH32" s="2760"/>
      <c r="AI32" s="2760"/>
    </row>
    <row r="33" spans="1:37">
      <c r="A33" s="423"/>
      <c r="B33" s="421" t="s">
        <v>327</v>
      </c>
      <c r="C33" s="421"/>
      <c r="D33" s="421"/>
      <c r="E33" s="421"/>
      <c r="F33" s="421"/>
      <c r="G33" s="421"/>
      <c r="H33" s="421"/>
      <c r="I33" s="421"/>
      <c r="J33" s="2772">
        <f>IF('GENERAL INFO'!$K$6="X",IF(AK21="A",0,IF(AK21="B",0.05*AF21,IF(AK21="C",0.15*AF21-5000000,IF(AK21="D",0.25*AF21-30000000,IF(AK21="E",0.3*AF21-55000000))))),0)</f>
        <v>47470969</v>
      </c>
      <c r="K33" s="2772"/>
      <c r="L33" s="2772"/>
      <c r="M33" s="2772"/>
      <c r="N33" s="421"/>
      <c r="O33" s="421"/>
      <c r="P33" s="421"/>
      <c r="Q33" s="421"/>
      <c r="R33" s="421"/>
      <c r="S33" s="421"/>
      <c r="T33" s="421"/>
      <c r="U33" s="421"/>
      <c r="V33" s="421"/>
      <c r="W33" s="421"/>
      <c r="X33" s="421"/>
      <c r="Y33" s="421" t="s">
        <v>329</v>
      </c>
      <c r="Z33" s="421"/>
      <c r="AA33" s="421"/>
      <c r="AB33" s="421"/>
      <c r="AC33" s="421"/>
      <c r="AD33" s="421"/>
      <c r="AF33" s="2751">
        <f>AF31+AF32</f>
        <v>409883874</v>
      </c>
      <c r="AG33" s="2751"/>
      <c r="AH33" s="2751"/>
      <c r="AI33" s="2751"/>
      <c r="AK33" s="427" t="e">
        <f>IF(AND(AF33&lt;=0),"A",IF(AND(AF33&lt;=50000000),"B",IF(AND(AF33&gt;50000000,AF33&lt;=250000000),"C",IF(AND(AF33&gt;250000000,AF33&lt;=500000000),"D","E"))))</f>
        <v>#DIV/0!</v>
      </c>
    </row>
    <row r="34" spans="1:35">
      <c r="A34" s="423"/>
      <c r="B34" s="421" t="s">
        <v>328</v>
      </c>
      <c r="C34" s="421"/>
      <c r="D34" s="421"/>
      <c r="E34" s="421"/>
      <c r="F34" s="421"/>
      <c r="G34" s="421"/>
      <c r="H34" s="421"/>
      <c r="I34" s="421"/>
      <c r="J34" s="2773">
        <f>N35-J33</f>
        <v>0</v>
      </c>
      <c r="K34" s="2773"/>
      <c r="L34" s="2773"/>
      <c r="M34" s="2773"/>
      <c r="N34" s="421"/>
      <c r="O34" s="421"/>
      <c r="P34" s="421"/>
      <c r="Q34" s="421"/>
      <c r="R34" s="421"/>
      <c r="S34" s="421"/>
      <c r="T34" s="421"/>
      <c r="U34" s="421"/>
      <c r="V34" s="421"/>
      <c r="W34" s="421"/>
      <c r="X34" s="421"/>
      <c r="Y34" s="421" t="s">
        <v>322</v>
      </c>
      <c r="Z34" s="421"/>
      <c r="AA34" s="421"/>
      <c r="AB34" s="421"/>
      <c r="AC34" s="421"/>
      <c r="AD34" s="421"/>
      <c r="AF34" s="2751">
        <f>N24</f>
        <v>0</v>
      </c>
      <c r="AG34" s="2751"/>
      <c r="AH34" s="2751"/>
      <c r="AI34" s="2751"/>
    </row>
    <row r="35" spans="1:35">
      <c r="A35" s="421"/>
      <c r="B35" s="421" t="s">
        <v>333</v>
      </c>
      <c r="C35" s="421"/>
      <c r="D35" s="421"/>
      <c r="E35" s="421"/>
      <c r="F35" s="421"/>
      <c r="G35" s="421"/>
      <c r="H35" s="421"/>
      <c r="I35" s="421"/>
      <c r="J35" s="421"/>
      <c r="K35" s="421"/>
      <c r="L35" s="421"/>
      <c r="M35" s="421"/>
      <c r="N35" s="2772">
        <f>IF('GENERAL INFO'!$K$6="X",IF(AK23="A",0,IF(AK23="B",0.05*AF23,IF(AK23="C",0.15*AF23-5000000,IF(AK23="D",0.25*AF23-30000000,IF(AK23="E",0.3*AF23-55000000))))),0)</f>
        <v>47470969</v>
      </c>
      <c r="O35" s="2772"/>
      <c r="P35" s="2772"/>
      <c r="Q35" s="2772"/>
      <c r="R35" s="421"/>
      <c r="S35" s="421"/>
      <c r="T35" s="421"/>
      <c r="U35" s="421"/>
      <c r="V35" s="421"/>
      <c r="W35" s="421"/>
      <c r="X35" s="421"/>
      <c r="Y35" s="421" t="s">
        <v>323</v>
      </c>
      <c r="Z35" s="421"/>
      <c r="AA35" s="421"/>
      <c r="AB35" s="421"/>
      <c r="AC35" s="421"/>
      <c r="AD35" s="421"/>
      <c r="AF35" s="2760">
        <f>N25</f>
        <v>580791156</v>
      </c>
      <c r="AG35" s="2760"/>
      <c r="AH35" s="2760"/>
      <c r="AI35" s="2760"/>
    </row>
    <row r="36" spans="1:37">
      <c r="A36" s="423"/>
      <c r="B36" s="421" t="s">
        <v>334</v>
      </c>
      <c r="C36" s="421"/>
      <c r="D36" s="421"/>
      <c r="E36" s="421"/>
      <c r="F36" s="421"/>
      <c r="G36" s="421"/>
      <c r="H36" s="421"/>
      <c r="I36" s="421"/>
      <c r="J36" s="421"/>
      <c r="K36" s="421"/>
      <c r="L36" s="421"/>
      <c r="M36" s="421"/>
      <c r="N36" s="2773">
        <f>R37-N35</f>
        <v>194731541</v>
      </c>
      <c r="O36" s="2773"/>
      <c r="P36" s="2773"/>
      <c r="Q36" s="2773"/>
      <c r="R36" s="421"/>
      <c r="S36" s="421"/>
      <c r="T36" s="421"/>
      <c r="U36" s="421"/>
      <c r="V36" s="421"/>
      <c r="W36" s="421"/>
      <c r="X36" s="421"/>
      <c r="Y36" s="421" t="s">
        <v>330</v>
      </c>
      <c r="Z36" s="421"/>
      <c r="AA36" s="421"/>
      <c r="AB36" s="421"/>
      <c r="AC36" s="421"/>
      <c r="AD36" s="421"/>
      <c r="AF36" s="2751">
        <f>AF33+AF34+AF35</f>
        <v>990675030</v>
      </c>
      <c r="AG36" s="2751"/>
      <c r="AH36" s="2751"/>
      <c r="AI36" s="2751"/>
      <c r="AK36" s="427" t="e">
        <f>IF(AND(AF36&lt;=0),"A",IF(AND(AF36&lt;=50000000),"B",IF(AND(AF36&gt;50000000,AF36&lt;=250000000),"C",IF(AND(AF36&gt;250000000,AF36&lt;=500000000),"D","E"))))</f>
        <v>#DIV/0!</v>
      </c>
    </row>
    <row r="37" spans="1:37">
      <c r="A37" s="423"/>
      <c r="B37" s="421" t="s">
        <v>335</v>
      </c>
      <c r="C37" s="421"/>
      <c r="D37" s="421"/>
      <c r="E37" s="421"/>
      <c r="F37" s="421"/>
      <c r="G37" s="421"/>
      <c r="H37" s="421"/>
      <c r="I37" s="421"/>
      <c r="J37" s="421"/>
      <c r="K37" s="421"/>
      <c r="L37" s="421"/>
      <c r="M37" s="421"/>
      <c r="N37" s="421"/>
      <c r="O37" s="421"/>
      <c r="P37" s="421"/>
      <c r="Q37" s="421"/>
      <c r="R37" s="2773">
        <f>IF('GENERAL INFO'!K6="X",IF(AK37="A",0,IF(AK37="B",0.05*AF37,IF(AK37="C",0.15*AF37-5000000,IF(AK37="D",0.25*AF37-30000000,0.3*AF37-55000000)))),0)</f>
        <v>242202509</v>
      </c>
      <c r="S37" s="2773"/>
      <c r="T37" s="2773"/>
      <c r="U37" s="2773"/>
      <c r="V37" s="421"/>
      <c r="W37" s="421"/>
      <c r="X37" s="421"/>
      <c r="Y37" s="421" t="s">
        <v>336</v>
      </c>
      <c r="Z37" s="421"/>
      <c r="AA37" s="421"/>
      <c r="AB37" s="421"/>
      <c r="AC37" s="421"/>
      <c r="AD37" s="421"/>
      <c r="AF37" s="2751">
        <f>IF(AF36&lt;=0,0,INT(AF36/1000)*1000)</f>
        <v>990675030</v>
      </c>
      <c r="AG37" s="2751"/>
      <c r="AH37" s="2751"/>
      <c r="AI37" s="2751"/>
      <c r="AK37" s="427" t="e">
        <f>IF(AND(AF37&lt;=0),"A",IF(AND(AF37&lt;=50000000),"B",IF(AND(AF37&gt;50000000,AF37&lt;=250000000),"C",IF(AND(AF37&gt;250000000,AF37&lt;=500000000),"D","E"))))</f>
        <v>#DIV/0!</v>
      </c>
    </row>
    <row r="38" spans="1:30">
      <c r="A38" s="423"/>
      <c r="B38" s="421"/>
      <c r="C38" s="421"/>
      <c r="D38" s="421"/>
      <c r="E38" s="421"/>
      <c r="F38" s="421"/>
      <c r="G38" s="421"/>
      <c r="H38" s="421"/>
      <c r="I38" s="421"/>
      <c r="J38" s="421"/>
      <c r="K38" s="421"/>
      <c r="L38" s="421"/>
      <c r="M38" s="421"/>
      <c r="N38" s="421"/>
      <c r="O38" s="421"/>
      <c r="P38" s="421"/>
      <c r="Q38" s="421"/>
      <c r="R38" s="421"/>
      <c r="S38" s="421"/>
      <c r="T38" s="421"/>
      <c r="U38" s="421"/>
      <c r="V38" s="421"/>
      <c r="W38" s="421"/>
      <c r="X38" s="421"/>
      <c r="Y38" s="421"/>
      <c r="Z38" s="421"/>
      <c r="AA38" s="421"/>
      <c r="AB38" s="421"/>
      <c r="AC38" s="421"/>
      <c r="AD38" s="421"/>
    </row>
    <row r="39" spans="1:30">
      <c r="A39" s="423" t="s">
        <v>337</v>
      </c>
      <c r="B39" s="421"/>
      <c r="C39" s="421"/>
      <c r="D39" s="421"/>
      <c r="E39" s="421"/>
      <c r="F39" s="421"/>
      <c r="G39" s="421"/>
      <c r="H39" s="421"/>
      <c r="I39" s="421"/>
      <c r="J39" s="421"/>
      <c r="K39" s="421"/>
      <c r="L39" s="421"/>
      <c r="M39" s="421"/>
      <c r="N39" s="421"/>
      <c r="O39" s="421"/>
      <c r="P39" s="421"/>
      <c r="Q39" s="421"/>
      <c r="R39" s="421"/>
      <c r="S39" s="421"/>
      <c r="T39" s="421"/>
      <c r="U39" s="421"/>
      <c r="V39" s="421"/>
      <c r="W39" s="421"/>
      <c r="X39" s="421"/>
      <c r="Y39" s="421"/>
      <c r="Z39" s="421"/>
      <c r="AA39" s="421"/>
      <c r="AB39" s="421"/>
      <c r="AC39" s="421"/>
      <c r="AD39" s="421"/>
    </row>
    <row r="40" spans="1:30">
      <c r="A40" s="421"/>
      <c r="B40" s="421" t="s">
        <v>327</v>
      </c>
      <c r="C40" s="421"/>
      <c r="D40" s="421"/>
      <c r="E40" s="421"/>
      <c r="F40" s="421"/>
      <c r="G40" s="421"/>
      <c r="H40" s="421"/>
      <c r="I40" s="421"/>
      <c r="J40" s="2772">
        <f>J33/12*WORKPERIOD</f>
        <v>23735484</v>
      </c>
      <c r="K40" s="2772"/>
      <c r="L40" s="2772"/>
      <c r="M40" s="2772"/>
      <c r="N40" s="421"/>
      <c r="O40" s="421"/>
      <c r="P40" s="421"/>
      <c r="Q40" s="421"/>
      <c r="R40" s="421"/>
      <c r="S40" s="421"/>
      <c r="T40" s="421"/>
      <c r="U40" s="421"/>
      <c r="V40" s="421"/>
      <c r="W40" s="421"/>
      <c r="X40" s="421"/>
      <c r="Y40" s="421"/>
      <c r="Z40" s="421"/>
      <c r="AA40" s="421"/>
      <c r="AB40" s="421"/>
      <c r="AC40" s="421"/>
      <c r="AD40" s="421"/>
    </row>
    <row r="41" spans="1:30">
      <c r="A41" s="421"/>
      <c r="B41" s="421" t="s">
        <v>328</v>
      </c>
      <c r="C41" s="421"/>
      <c r="D41" s="421"/>
      <c r="E41" s="421"/>
      <c r="F41" s="421"/>
      <c r="G41" s="421"/>
      <c r="H41" s="421"/>
      <c r="I41" s="421"/>
      <c r="J41" s="2771">
        <f>+J34/12*WORKPERIOD</f>
        <v>0</v>
      </c>
      <c r="K41" s="2771"/>
      <c r="L41" s="2771"/>
      <c r="M41" s="2771"/>
      <c r="N41" s="421"/>
      <c r="O41" s="421"/>
      <c r="P41" s="421"/>
      <c r="Q41" s="421"/>
      <c r="R41" s="421"/>
      <c r="S41" s="421"/>
      <c r="T41" s="421"/>
      <c r="U41" s="421"/>
      <c r="V41" s="421"/>
      <c r="W41" s="421"/>
      <c r="X41" s="421"/>
      <c r="Y41" s="421"/>
      <c r="Z41" s="421"/>
      <c r="AA41" s="421"/>
      <c r="AB41" s="421"/>
      <c r="AC41" s="421"/>
      <c r="AD41" s="421"/>
    </row>
    <row r="42" spans="1:30">
      <c r="A42" s="421"/>
      <c r="B42" s="421" t="s">
        <v>333</v>
      </c>
      <c r="C42" s="421"/>
      <c r="D42" s="421"/>
      <c r="E42" s="421"/>
      <c r="F42" s="421"/>
      <c r="G42" s="421"/>
      <c r="H42" s="421"/>
      <c r="I42" s="421"/>
      <c r="J42" s="428"/>
      <c r="K42" s="428"/>
      <c r="L42" s="428"/>
      <c r="M42" s="428"/>
      <c r="N42" s="2772">
        <f>J40+J41</f>
        <v>23735484</v>
      </c>
      <c r="O42" s="2772"/>
      <c r="P42" s="2772"/>
      <c r="Q42" s="2772"/>
      <c r="R42" s="421"/>
      <c r="S42" s="421"/>
      <c r="T42" s="421"/>
      <c r="U42" s="421"/>
      <c r="V42" s="421"/>
      <c r="W42" s="421"/>
      <c r="X42" s="421"/>
      <c r="Y42" s="421"/>
      <c r="Z42" s="421"/>
      <c r="AA42" s="421"/>
      <c r="AB42" s="421"/>
      <c r="AC42" s="421"/>
      <c r="AD42" s="421"/>
    </row>
    <row r="43" spans="1:30">
      <c r="A43" s="421"/>
      <c r="B43" s="421" t="s">
        <v>334</v>
      </c>
      <c r="C43" s="421"/>
      <c r="D43" s="421"/>
      <c r="E43" s="421"/>
      <c r="F43" s="421"/>
      <c r="G43" s="421"/>
      <c r="H43" s="421"/>
      <c r="I43" s="421"/>
      <c r="J43" s="421"/>
      <c r="K43" s="421"/>
      <c r="L43" s="421"/>
      <c r="M43" s="421"/>
      <c r="N43" s="2780">
        <f>N36/12*WORKPERIOD</f>
        <v>97365770</v>
      </c>
      <c r="O43" s="2780"/>
      <c r="P43" s="2780"/>
      <c r="Q43" s="2780"/>
      <c r="R43" s="421"/>
      <c r="S43" s="421"/>
      <c r="T43" s="421"/>
      <c r="U43" s="421"/>
      <c r="V43" s="421"/>
      <c r="W43" s="421"/>
      <c r="X43" s="421"/>
      <c r="Y43" s="421"/>
      <c r="Z43" s="421"/>
      <c r="AA43" s="421"/>
      <c r="AB43" s="421"/>
      <c r="AC43" s="421"/>
      <c r="AD43" s="421"/>
    </row>
    <row r="44" spans="1:30" ht="13.5" customHeight="1" thickBot="1">
      <c r="A44" s="421"/>
      <c r="B44" s="423" t="s">
        <v>338</v>
      </c>
      <c r="C44" s="421"/>
      <c r="D44" s="421"/>
      <c r="E44" s="421"/>
      <c r="F44" s="421"/>
      <c r="G44" s="421"/>
      <c r="H44" s="421"/>
      <c r="I44" s="421"/>
      <c r="J44" s="421"/>
      <c r="K44" s="421"/>
      <c r="L44" s="421"/>
      <c r="M44" s="421"/>
      <c r="N44" s="421"/>
      <c r="O44" s="421"/>
      <c r="P44" s="421"/>
      <c r="Q44" s="421"/>
      <c r="R44" s="2752">
        <f>N42+N43</f>
        <v>121101255</v>
      </c>
      <c r="S44" s="2752"/>
      <c r="T44" s="2752"/>
      <c r="U44" s="2752"/>
      <c r="V44" s="421"/>
      <c r="W44" s="421"/>
      <c r="X44" s="421"/>
      <c r="Y44" s="421"/>
      <c r="Z44" s="421"/>
      <c r="AA44" s="421"/>
      <c r="AB44" s="421"/>
      <c r="AC44" s="421"/>
      <c r="AD44" s="421"/>
    </row>
    <row r="45" spans="1:30" ht="13.5" customHeight="1" thickTop="1">
      <c r="A45" s="421"/>
      <c r="B45" s="421"/>
      <c r="C45" s="421"/>
      <c r="D45" s="421"/>
      <c r="E45" s="421"/>
      <c r="F45" s="421"/>
      <c r="G45" s="421"/>
      <c r="H45" s="421"/>
      <c r="I45" s="421"/>
      <c r="J45" s="421"/>
      <c r="K45" s="421"/>
      <c r="L45" s="421"/>
      <c r="M45" s="421"/>
      <c r="N45" s="421"/>
      <c r="O45" s="421"/>
      <c r="P45" s="421"/>
      <c r="Q45" s="421"/>
      <c r="R45" s="421"/>
      <c r="S45" s="421"/>
      <c r="T45" s="421"/>
      <c r="U45" s="421"/>
      <c r="V45" s="421"/>
      <c r="W45" s="421"/>
      <c r="X45" s="421"/>
      <c r="Y45" s="421"/>
      <c r="Z45" s="421"/>
      <c r="AA45" s="421"/>
      <c r="AB45" s="421"/>
      <c r="AC45" s="421"/>
      <c r="AD45" s="421"/>
    </row>
    <row r="46" spans="1:30">
      <c r="A46" s="421"/>
      <c r="B46" s="421"/>
      <c r="C46" s="421"/>
      <c r="D46" s="421"/>
      <c r="E46" s="421"/>
      <c r="F46" s="421"/>
      <c r="G46" s="421"/>
      <c r="H46" s="421"/>
      <c r="I46" s="421"/>
      <c r="J46" s="421"/>
      <c r="K46" s="421"/>
      <c r="L46" s="421"/>
      <c r="M46" s="421"/>
      <c r="N46" s="421"/>
      <c r="O46" s="421"/>
      <c r="P46" s="421"/>
      <c r="Q46" s="421"/>
      <c r="R46" s="421"/>
      <c r="S46" s="421"/>
      <c r="T46" s="421"/>
      <c r="U46" s="421"/>
      <c r="V46" s="421"/>
      <c r="W46" s="421"/>
      <c r="X46" s="421"/>
      <c r="Y46" s="421"/>
      <c r="Z46" s="421"/>
      <c r="AA46" s="421"/>
      <c r="AB46" s="421"/>
      <c r="AC46" s="421"/>
      <c r="AD46" s="421"/>
    </row>
    <row r="47" spans="1:30">
      <c r="A47" s="424"/>
      <c r="B47" s="421"/>
      <c r="C47" s="421"/>
      <c r="D47" s="421"/>
      <c r="E47" s="421"/>
      <c r="F47" s="421"/>
      <c r="G47" s="421"/>
      <c r="H47" s="421"/>
      <c r="I47" s="421"/>
      <c r="J47" s="421"/>
      <c r="K47" s="421"/>
      <c r="L47" s="421"/>
      <c r="M47" s="421"/>
      <c r="N47" s="421"/>
      <c r="O47" s="421"/>
      <c r="P47" s="421"/>
      <c r="Q47" s="421"/>
      <c r="R47" s="421"/>
      <c r="S47" s="421"/>
      <c r="T47" s="421"/>
      <c r="U47" s="421"/>
      <c r="V47" s="421"/>
      <c r="W47" s="421"/>
      <c r="X47" s="421"/>
      <c r="Y47" s="421"/>
      <c r="Z47" s="421"/>
      <c r="AA47" s="421"/>
      <c r="AB47" s="421"/>
      <c r="AC47" s="421"/>
      <c r="AD47" s="421"/>
    </row>
    <row r="48" spans="1:30" ht="20.25" customHeight="1">
      <c r="A48" s="422" t="s">
        <v>371</v>
      </c>
      <c r="B48" s="421"/>
      <c r="C48" s="421"/>
      <c r="D48" s="421"/>
      <c r="E48" s="421"/>
      <c r="F48" s="421"/>
      <c r="G48" s="421"/>
      <c r="H48" s="421"/>
      <c r="I48" s="421"/>
      <c r="J48" s="421"/>
      <c r="K48" s="421"/>
      <c r="L48" s="421"/>
      <c r="M48" s="421"/>
      <c r="N48" s="421"/>
      <c r="O48" s="421"/>
      <c r="P48" s="421"/>
      <c r="Q48" s="421"/>
      <c r="R48" s="421"/>
      <c r="S48" s="421"/>
      <c r="T48" s="421"/>
      <c r="U48" s="421"/>
      <c r="V48" s="421"/>
      <c r="W48" s="421"/>
      <c r="X48" s="421"/>
      <c r="Y48" s="421"/>
      <c r="Z48" s="421"/>
      <c r="AA48" s="421"/>
      <c r="AB48" s="421"/>
      <c r="AC48" s="421"/>
      <c r="AD48" s="421"/>
    </row>
    <row r="49" spans="1:30">
      <c r="A49" s="423"/>
      <c r="B49" s="421"/>
      <c r="C49" s="421"/>
      <c r="D49" s="421"/>
      <c r="E49" s="421"/>
      <c r="F49" s="421"/>
      <c r="G49" s="421"/>
      <c r="H49" s="421"/>
      <c r="I49" s="421"/>
      <c r="J49" s="421"/>
      <c r="K49" s="421"/>
      <c r="L49" s="421"/>
      <c r="M49" s="421"/>
      <c r="N49" s="421"/>
      <c r="O49" s="421"/>
      <c r="P49" s="421"/>
      <c r="Q49" s="421"/>
      <c r="R49" s="421"/>
      <c r="S49" s="421"/>
      <c r="T49" s="421"/>
      <c r="U49" s="421"/>
      <c r="V49" s="421"/>
      <c r="W49" s="421"/>
      <c r="X49" s="421"/>
      <c r="Y49" s="421"/>
      <c r="Z49" s="421"/>
      <c r="AA49" s="421"/>
      <c r="AB49" s="421"/>
      <c r="AC49" s="421"/>
      <c r="AD49" s="421"/>
    </row>
    <row r="50" spans="1:30">
      <c r="A50" s="421"/>
      <c r="B50" s="421"/>
      <c r="C50" s="421"/>
      <c r="D50" s="421"/>
      <c r="E50" s="421"/>
      <c r="F50" s="421"/>
      <c r="G50" s="421"/>
      <c r="H50" s="421"/>
      <c r="I50" s="421"/>
      <c r="J50" s="421"/>
      <c r="K50" s="421"/>
      <c r="L50" s="421"/>
      <c r="M50" s="421"/>
      <c r="N50" s="421"/>
      <c r="O50" s="421"/>
      <c r="P50" s="421"/>
      <c r="Q50" s="421"/>
      <c r="R50" s="421"/>
      <c r="S50" s="421"/>
      <c r="T50" s="421"/>
      <c r="U50" s="421"/>
      <c r="V50" s="421"/>
      <c r="W50" s="421"/>
      <c r="X50" s="421"/>
      <c r="Y50" s="421"/>
      <c r="Z50" s="421"/>
      <c r="AA50" s="421"/>
      <c r="AB50" s="421"/>
      <c r="AC50" s="421"/>
      <c r="AD50" s="421"/>
    </row>
    <row r="51" spans="1:30">
      <c r="A51" s="423" t="s">
        <v>339</v>
      </c>
      <c r="B51" s="421"/>
      <c r="C51" s="421"/>
      <c r="D51" s="421"/>
      <c r="E51" s="421"/>
      <c r="F51" s="421"/>
      <c r="G51" s="421"/>
      <c r="H51" s="421"/>
      <c r="I51" s="421"/>
      <c r="J51" s="421"/>
      <c r="K51" s="421"/>
      <c r="L51" s="421"/>
      <c r="M51" s="421"/>
      <c r="N51" s="421"/>
      <c r="O51" s="421"/>
      <c r="P51" s="421"/>
      <c r="Q51" s="421"/>
      <c r="R51" s="421"/>
      <c r="S51" s="421"/>
      <c r="T51" s="421"/>
      <c r="U51" s="421"/>
      <c r="V51" s="421"/>
      <c r="W51" s="421"/>
      <c r="X51" s="421"/>
      <c r="Y51" s="421"/>
      <c r="Z51" s="421"/>
      <c r="AA51" s="421"/>
      <c r="AB51" s="421"/>
      <c r="AC51" s="421"/>
      <c r="AD51" s="421"/>
    </row>
    <row r="52" spans="1:30">
      <c r="A52" s="423"/>
      <c r="B52" s="421"/>
      <c r="C52" s="421"/>
      <c r="D52" s="421"/>
      <c r="E52" s="421"/>
      <c r="F52" s="421"/>
      <c r="G52" s="421"/>
      <c r="H52" s="421"/>
      <c r="I52" s="421"/>
      <c r="J52" s="428" t="s">
        <v>197</v>
      </c>
      <c r="K52" s="428"/>
      <c r="L52" s="428"/>
      <c r="M52" s="428"/>
      <c r="N52" s="428"/>
      <c r="O52" s="428"/>
      <c r="P52" s="428"/>
      <c r="Q52" s="428"/>
      <c r="R52" s="428"/>
      <c r="S52" s="428"/>
      <c r="T52" s="428"/>
      <c r="U52" s="428"/>
      <c r="V52" s="428"/>
      <c r="W52" s="428"/>
      <c r="X52" s="428"/>
      <c r="Y52" s="428"/>
      <c r="Z52" s="428"/>
      <c r="AA52" s="428"/>
      <c r="AB52" s="428"/>
      <c r="AC52" s="421" t="s">
        <v>197</v>
      </c>
      <c r="AD52" s="421"/>
    </row>
    <row r="53" spans="1:30">
      <c r="A53" s="421"/>
      <c r="B53" s="421" t="s">
        <v>340</v>
      </c>
      <c r="C53" s="421"/>
      <c r="D53" s="421"/>
      <c r="E53" s="421"/>
      <c r="F53" s="421"/>
      <c r="G53" s="421"/>
      <c r="H53" s="421"/>
      <c r="I53" s="421"/>
      <c r="J53" s="426">
        <f>IF(OR(ISBLANK(dateofdeparture)=True,(dateofdeparture-taxyearend)&gt;0),annempincome,0)</f>
        <v>0</v>
      </c>
      <c r="K53" s="426"/>
      <c r="L53" s="426"/>
      <c r="M53" s="426"/>
      <c r="N53" s="421"/>
      <c r="O53" s="421"/>
      <c r="P53" s="421"/>
      <c r="Q53" s="421"/>
      <c r="R53" s="421"/>
      <c r="S53" s="421"/>
      <c r="T53" s="421"/>
      <c r="U53" s="421"/>
      <c r="V53" s="421"/>
      <c r="W53" s="421"/>
      <c r="X53" s="421"/>
      <c r="Y53" s="421"/>
      <c r="Z53" s="421"/>
      <c r="AA53" s="421"/>
      <c r="AB53" s="421"/>
      <c r="AC53" s="421"/>
      <c r="AD53" s="421"/>
    </row>
    <row r="54" spans="1:30">
      <c r="A54" s="421"/>
      <c r="B54" s="421" t="s">
        <v>320</v>
      </c>
      <c r="C54" s="421"/>
      <c r="D54" s="421"/>
      <c r="E54" s="421"/>
      <c r="F54" s="421"/>
      <c r="G54" s="421"/>
      <c r="H54" s="421"/>
      <c r="I54" s="421"/>
      <c r="J54" s="2774">
        <f>IF(OR(ISBLANK(dateofdeparture)=True,(dateofdeparture-taxyearend)&gt;0),J22,0)</f>
        <v>0</v>
      </c>
      <c r="K54" s="2774"/>
      <c r="L54" s="2774"/>
      <c r="M54" s="2774"/>
      <c r="N54" s="421"/>
      <c r="O54" s="421"/>
      <c r="P54" s="421"/>
      <c r="Q54" s="421"/>
      <c r="R54" s="421"/>
      <c r="S54" s="421"/>
      <c r="T54" s="421"/>
      <c r="U54" s="421"/>
      <c r="V54" s="421"/>
      <c r="W54" s="421"/>
      <c r="X54" s="421"/>
      <c r="Y54" s="421"/>
      <c r="Z54" s="421"/>
      <c r="AA54" s="421"/>
      <c r="AB54" s="421"/>
      <c r="AC54" s="421"/>
      <c r="AD54" s="421"/>
    </row>
    <row r="55" spans="1:30">
      <c r="A55" s="421"/>
      <c r="B55" s="424" t="s">
        <v>321</v>
      </c>
      <c r="C55" s="421"/>
      <c r="D55" s="421"/>
      <c r="E55" s="421"/>
      <c r="F55" s="421"/>
      <c r="G55" s="421"/>
      <c r="H55" s="421"/>
      <c r="I55" s="421"/>
      <c r="J55" s="426"/>
      <c r="K55" s="426"/>
      <c r="L55" s="426"/>
      <c r="M55" s="426"/>
      <c r="N55" s="426">
        <f>J53+J54</f>
        <v>0</v>
      </c>
      <c r="O55" s="426"/>
      <c r="P55" s="426"/>
      <c r="Q55" s="426"/>
      <c r="R55" s="421"/>
      <c r="S55" s="421"/>
      <c r="T55" s="421"/>
      <c r="U55" s="421"/>
      <c r="V55" s="421"/>
      <c r="W55" s="421"/>
      <c r="X55" s="421"/>
      <c r="Y55" s="421"/>
      <c r="Z55" s="421"/>
      <c r="AA55" s="421"/>
      <c r="AB55" s="421"/>
      <c r="AC55" s="421"/>
      <c r="AD55" s="421"/>
    </row>
    <row r="56" spans="1:35">
      <c r="A56" s="421"/>
      <c r="B56" s="421"/>
      <c r="C56" s="421"/>
      <c r="D56" s="421"/>
      <c r="E56" s="421"/>
      <c r="F56" s="421"/>
      <c r="G56" s="421"/>
      <c r="H56" s="421"/>
      <c r="I56" s="421"/>
      <c r="J56" s="421"/>
      <c r="K56" s="421"/>
      <c r="L56" s="421"/>
      <c r="M56" s="421"/>
      <c r="N56" s="426"/>
      <c r="O56" s="426"/>
      <c r="P56" s="426"/>
      <c r="Q56" s="426"/>
      <c r="R56" s="421"/>
      <c r="S56" s="421"/>
      <c r="T56" s="421"/>
      <c r="U56" s="421"/>
      <c r="V56" s="421"/>
      <c r="W56" s="421"/>
      <c r="X56" s="423"/>
      <c r="Y56" s="421"/>
      <c r="Z56" s="421"/>
      <c r="AA56" s="421"/>
      <c r="AB56" s="421"/>
      <c r="AC56" s="421"/>
      <c r="AD56" s="421"/>
      <c r="AF56" s="2755"/>
      <c r="AG56" s="2755"/>
      <c r="AH56" s="2755"/>
      <c r="AI56" s="2755"/>
    </row>
    <row r="57" spans="1:30">
      <c r="A57" s="421"/>
      <c r="B57" s="421" t="s">
        <v>322</v>
      </c>
      <c r="C57" s="421"/>
      <c r="D57" s="421"/>
      <c r="E57" s="421"/>
      <c r="F57" s="421"/>
      <c r="G57" s="421"/>
      <c r="H57" s="421"/>
      <c r="I57" s="421"/>
      <c r="J57" s="426">
        <f>IF(OR(ISBLANK(dateofdeparture)=True,(dateofdeparture-taxyearend)&gt;0),anndomesticnetincome,0)</f>
        <v>0</v>
      </c>
      <c r="K57" s="426"/>
      <c r="L57" s="426"/>
      <c r="M57" s="426"/>
      <c r="N57" s="421"/>
      <c r="O57" s="421"/>
      <c r="P57" s="421"/>
      <c r="Q57" s="421"/>
      <c r="R57" s="421"/>
      <c r="S57" s="421"/>
      <c r="T57" s="421"/>
      <c r="U57" s="421"/>
      <c r="V57" s="421"/>
      <c r="W57" s="421"/>
      <c r="X57" s="421"/>
      <c r="Y57" s="421"/>
      <c r="Z57" s="421"/>
      <c r="AA57" s="421"/>
      <c r="AB57" s="421"/>
      <c r="AC57" s="421"/>
      <c r="AD57" s="421"/>
    </row>
    <row r="58" spans="1:30">
      <c r="A58" s="421"/>
      <c r="B58" s="421" t="s">
        <v>341</v>
      </c>
      <c r="C58" s="421"/>
      <c r="D58" s="421"/>
      <c r="E58" s="421"/>
      <c r="F58" s="421"/>
      <c r="G58" s="421"/>
      <c r="H58" s="421"/>
      <c r="I58" s="421"/>
      <c r="J58" s="2774">
        <f>IF(OR(ISBLANK(dateofdeparture)=True,(dateofdeparture-taxyearend)&gt;0),-irregulardomesticincome*12/'GENERAL INFO'!V109,0)</f>
        <v>0</v>
      </c>
      <c r="K58" s="2774"/>
      <c r="L58" s="2774"/>
      <c r="M58" s="2774"/>
      <c r="N58" s="421"/>
      <c r="O58" s="421"/>
      <c r="P58" s="421"/>
      <c r="Q58" s="421"/>
      <c r="R58" s="421"/>
      <c r="S58" s="421"/>
      <c r="T58" s="421"/>
      <c r="U58" s="421"/>
      <c r="V58" s="421"/>
      <c r="W58" s="421"/>
      <c r="X58" s="421"/>
      <c r="Y58" s="421"/>
      <c r="Z58" s="421"/>
      <c r="AA58" s="421"/>
      <c r="AB58" s="421"/>
      <c r="AC58" s="421"/>
      <c r="AD58" s="421"/>
    </row>
    <row r="59" spans="1:30">
      <c r="A59" s="421"/>
      <c r="B59" s="421" t="s">
        <v>342</v>
      </c>
      <c r="C59" s="421"/>
      <c r="D59" s="421"/>
      <c r="E59" s="421"/>
      <c r="F59" s="421"/>
      <c r="G59" s="421"/>
      <c r="H59" s="421"/>
      <c r="I59" s="421"/>
      <c r="J59" s="426"/>
      <c r="K59" s="426"/>
      <c r="L59" s="426"/>
      <c r="M59" s="426"/>
      <c r="N59" s="426">
        <f>J57+J58</f>
        <v>0</v>
      </c>
      <c r="O59" s="426"/>
      <c r="P59" s="426"/>
      <c r="Q59" s="426"/>
      <c r="R59" s="421"/>
      <c r="S59" s="421"/>
      <c r="T59" s="421"/>
      <c r="U59" s="421"/>
      <c r="V59" s="421"/>
      <c r="W59" s="421"/>
      <c r="X59" s="423" t="s">
        <v>326</v>
      </c>
      <c r="Y59" s="421"/>
      <c r="Z59" s="421"/>
      <c r="AA59" s="421"/>
      <c r="AB59" s="421"/>
      <c r="AC59" s="421"/>
      <c r="AD59" s="421"/>
    </row>
    <row r="60" spans="1:37">
      <c r="A60" s="421"/>
      <c r="B60" s="421"/>
      <c r="C60" s="421"/>
      <c r="D60" s="421"/>
      <c r="E60" s="421"/>
      <c r="F60" s="421"/>
      <c r="G60" s="421"/>
      <c r="H60" s="421"/>
      <c r="I60" s="421"/>
      <c r="J60" s="421"/>
      <c r="K60" s="421"/>
      <c r="L60" s="421"/>
      <c r="M60" s="421"/>
      <c r="N60" s="426"/>
      <c r="O60" s="426"/>
      <c r="P60" s="426"/>
      <c r="Q60" s="426"/>
      <c r="R60" s="421"/>
      <c r="S60" s="421"/>
      <c r="T60" s="421"/>
      <c r="U60" s="421"/>
      <c r="V60" s="421"/>
      <c r="W60" s="421"/>
      <c r="X60" s="421"/>
      <c r="Y60" s="421" t="s">
        <v>327</v>
      </c>
      <c r="Z60" s="421"/>
      <c r="AA60" s="421"/>
      <c r="AB60" s="421"/>
      <c r="AC60" s="421"/>
      <c r="AD60" s="421"/>
      <c r="AF60" s="2751">
        <f>IF(OR(ISBLANK(dateofdeparture)=True,(dateofdeparture-taxyearend)&gt;0),(INT(J53/1000)*1000)-personalreliefs,0)</f>
        <v>0</v>
      </c>
      <c r="AG60" s="2751"/>
      <c r="AH60" s="2751"/>
      <c r="AI60" s="2751"/>
      <c r="AK60" s="427" t="e">
        <f>IF(AND(AF60&lt;=0),"A",IF(AND(AF60&lt;=50000000),"B",IF(AND(AF60&gt;50000000,AF60&lt;=250000000),"C",IF(AND(AF60&gt;250000000,AF60&lt;=500000000),"D","E"))))</f>
        <v>#VALUE!</v>
      </c>
    </row>
    <row r="61" spans="1:35">
      <c r="A61" s="421"/>
      <c r="B61" s="421" t="s">
        <v>323</v>
      </c>
      <c r="C61" s="421"/>
      <c r="D61" s="421"/>
      <c r="E61" s="421"/>
      <c r="F61" s="421"/>
      <c r="G61" s="421"/>
      <c r="H61" s="421"/>
      <c r="I61" s="421"/>
      <c r="J61" s="426">
        <f>IF(OR(ISBLANK(dateofdeparture)=True,(dateofdeparture-taxyearend)&gt;0),annoverseasincome,0)</f>
        <v>0</v>
      </c>
      <c r="K61" s="426"/>
      <c r="L61" s="426"/>
      <c r="M61" s="426"/>
      <c r="N61" s="421"/>
      <c r="O61" s="421"/>
      <c r="P61" s="421"/>
      <c r="Q61" s="421"/>
      <c r="R61" s="421"/>
      <c r="S61" s="421"/>
      <c r="T61" s="421"/>
      <c r="U61" s="421"/>
      <c r="V61" s="421"/>
      <c r="W61" s="421"/>
      <c r="X61" s="421"/>
      <c r="Y61" s="421" t="s">
        <v>328</v>
      </c>
      <c r="Z61" s="421"/>
      <c r="AA61" s="421"/>
      <c r="AB61" s="421"/>
      <c r="AC61" s="421"/>
      <c r="AD61" s="421"/>
      <c r="AF61" s="2760">
        <f>J$54</f>
        <v>0</v>
      </c>
      <c r="AG61" s="2760"/>
      <c r="AH61" s="2760"/>
      <c r="AI61" s="2760"/>
    </row>
    <row r="62" spans="1:37">
      <c r="A62" s="421"/>
      <c r="B62" s="421" t="s">
        <v>343</v>
      </c>
      <c r="C62" s="421"/>
      <c r="D62" s="421"/>
      <c r="E62" s="421"/>
      <c r="F62" s="421"/>
      <c r="G62" s="421"/>
      <c r="H62" s="421"/>
      <c r="I62" s="421"/>
      <c r="J62" s="2774">
        <f>IF(OR(ISBLANK(dateofdeparture)=True,(dateofdeparture-taxyearend)&gt;0),(-irregularoverseasincome/WORKPERIOD*12),0)</f>
        <v>0</v>
      </c>
      <c r="K62" s="2774"/>
      <c r="L62" s="2774"/>
      <c r="M62" s="2774"/>
      <c r="N62" s="426"/>
      <c r="O62" s="426"/>
      <c r="P62" s="426"/>
      <c r="Q62" s="426"/>
      <c r="R62" s="421"/>
      <c r="S62" s="421"/>
      <c r="T62" s="421"/>
      <c r="U62" s="421"/>
      <c r="V62" s="421"/>
      <c r="W62" s="421"/>
      <c r="X62" s="421"/>
      <c r="Y62" s="421" t="s">
        <v>329</v>
      </c>
      <c r="Z62" s="421"/>
      <c r="AA62" s="421"/>
      <c r="AB62" s="421"/>
      <c r="AC62" s="421"/>
      <c r="AD62" s="421"/>
      <c r="AF62" s="2751">
        <f>IF(OR(ISBLANK(dateofdeparture)=True,(dateofdeparture-taxyearend)&gt;0),(INT(N55/1000)*1000)-personalreliefs,0)</f>
        <v>0</v>
      </c>
      <c r="AG62" s="2751"/>
      <c r="AH62" s="2751"/>
      <c r="AI62" s="2751"/>
      <c r="AK62" s="427" t="e">
        <f>IF(AND(AF62&lt;=0),"A",IF(AND(AF62&lt;=50000000),"B",IF(AND(AF62&gt;50000000,AF62&lt;=250000000),"C",IF(AND(AF62&gt;250000000,AF62&lt;=500000000),"D","E"))))</f>
        <v>#VALUE!</v>
      </c>
    </row>
    <row r="63" spans="1:30">
      <c r="A63" s="421"/>
      <c r="B63" s="421" t="s">
        <v>344</v>
      </c>
      <c r="C63" s="421"/>
      <c r="D63" s="421"/>
      <c r="E63" s="421"/>
      <c r="F63" s="421"/>
      <c r="G63" s="421"/>
      <c r="H63" s="421"/>
      <c r="I63" s="421"/>
      <c r="J63" s="421"/>
      <c r="K63" s="421"/>
      <c r="L63" s="421"/>
      <c r="M63" s="421"/>
      <c r="N63" s="426">
        <f>J61+J62</f>
        <v>0</v>
      </c>
      <c r="O63" s="426"/>
      <c r="P63" s="426"/>
      <c r="Q63" s="426"/>
      <c r="R63" s="421"/>
      <c r="S63" s="421"/>
      <c r="T63" s="421"/>
      <c r="U63" s="421"/>
      <c r="V63" s="421"/>
      <c r="W63" s="421"/>
      <c r="X63" s="421"/>
      <c r="Y63" s="421"/>
      <c r="Z63" s="421"/>
      <c r="AA63" s="421"/>
      <c r="AB63" s="421"/>
      <c r="AC63" s="421"/>
      <c r="AD63" s="421"/>
    </row>
    <row r="64" spans="1:30" ht="6.75" customHeight="1">
      <c r="A64" s="421"/>
      <c r="B64" s="421"/>
      <c r="C64" s="421"/>
      <c r="D64" s="421"/>
      <c r="E64" s="421"/>
      <c r="F64" s="421"/>
      <c r="G64" s="421"/>
      <c r="H64" s="421"/>
      <c r="I64" s="421"/>
      <c r="J64" s="421"/>
      <c r="K64" s="421"/>
      <c r="L64" s="421"/>
      <c r="M64" s="421"/>
      <c r="N64" s="429"/>
      <c r="O64" s="429"/>
      <c r="P64" s="429"/>
      <c r="Q64" s="429"/>
      <c r="R64" s="421"/>
      <c r="S64" s="421"/>
      <c r="T64" s="421"/>
      <c r="U64" s="421"/>
      <c r="V64" s="421"/>
      <c r="W64" s="421"/>
      <c r="X64" s="421"/>
      <c r="Y64" s="421"/>
      <c r="Z64" s="421"/>
      <c r="AA64" s="421"/>
      <c r="AB64" s="421"/>
      <c r="AC64" s="421"/>
      <c r="AD64" s="421"/>
    </row>
    <row r="65" spans="1:30">
      <c r="A65" s="421"/>
      <c r="B65" s="421" t="s">
        <v>345</v>
      </c>
      <c r="C65" s="421"/>
      <c r="D65" s="421"/>
      <c r="E65" s="421"/>
      <c r="F65" s="421"/>
      <c r="G65" s="421"/>
      <c r="H65" s="421"/>
      <c r="I65" s="421"/>
      <c r="J65" s="421"/>
      <c r="K65" s="421"/>
      <c r="L65" s="421"/>
      <c r="M65" s="421"/>
      <c r="N65" s="421"/>
      <c r="O65" s="421"/>
      <c r="P65" s="421"/>
      <c r="Q65" s="421"/>
      <c r="R65" s="426">
        <f>IF(N63&gt;0,N55+N59+N63,N55+N59+0)</f>
        <v>0</v>
      </c>
      <c r="S65" s="426"/>
      <c r="T65" s="426"/>
      <c r="U65" s="426"/>
      <c r="V65" s="421"/>
      <c r="W65" s="421"/>
      <c r="X65" s="421"/>
      <c r="Y65" s="421"/>
      <c r="Z65" s="421"/>
      <c r="AA65" s="421"/>
      <c r="AB65" s="421"/>
      <c r="AC65" s="421"/>
      <c r="AD65" s="421"/>
    </row>
    <row r="66" spans="1:30">
      <c r="A66" s="421"/>
      <c r="B66" s="421"/>
      <c r="C66" s="421"/>
      <c r="D66" s="421"/>
      <c r="E66" s="421"/>
      <c r="F66" s="421"/>
      <c r="G66" s="421"/>
      <c r="H66" s="421"/>
      <c r="I66" s="421"/>
      <c r="J66" s="421"/>
      <c r="K66" s="421"/>
      <c r="L66" s="421"/>
      <c r="M66" s="421"/>
      <c r="N66" s="421"/>
      <c r="O66" s="421"/>
      <c r="P66" s="421"/>
      <c r="Q66" s="421"/>
      <c r="R66" s="421"/>
      <c r="S66" s="421"/>
      <c r="T66" s="421"/>
      <c r="U66" s="421"/>
      <c r="V66" s="421"/>
      <c r="W66" s="421"/>
      <c r="X66" s="421"/>
      <c r="Y66" s="421"/>
      <c r="Z66" s="421"/>
      <c r="AA66" s="421"/>
      <c r="AB66" s="421"/>
      <c r="AC66" s="421"/>
      <c r="AD66" s="421"/>
    </row>
    <row r="67" spans="1:30">
      <c r="A67" s="423" t="s">
        <v>346</v>
      </c>
      <c r="B67" s="430"/>
      <c r="C67" s="421"/>
      <c r="D67" s="421"/>
      <c r="E67" s="421"/>
      <c r="F67" s="421"/>
      <c r="G67" s="421"/>
      <c r="H67" s="421"/>
      <c r="I67" s="421"/>
      <c r="J67" s="421"/>
      <c r="K67" s="421"/>
      <c r="L67" s="421"/>
      <c r="M67" s="421"/>
      <c r="N67" s="421"/>
      <c r="O67" s="421"/>
      <c r="P67" s="421"/>
      <c r="Q67" s="421"/>
      <c r="R67" s="2774">
        <f>IF('GENERAL INFO'!K6="X",personalreliefs,0)</f>
        <v>54000000</v>
      </c>
      <c r="S67" s="2774"/>
      <c r="T67" s="2774"/>
      <c r="U67" s="2774"/>
      <c r="V67" s="421"/>
      <c r="W67" s="421"/>
      <c r="X67" s="421"/>
      <c r="Y67" s="421"/>
      <c r="Z67" s="421"/>
      <c r="AA67" s="421"/>
      <c r="AB67" s="421"/>
      <c r="AC67" s="421"/>
      <c r="AD67" s="421"/>
    </row>
    <row r="68" spans="1:30">
      <c r="A68" s="423"/>
      <c r="B68" s="430"/>
      <c r="C68" s="421"/>
      <c r="D68" s="421"/>
      <c r="E68" s="421"/>
      <c r="F68" s="421"/>
      <c r="G68" s="421"/>
      <c r="H68" s="421"/>
      <c r="I68" s="421"/>
      <c r="J68" s="421"/>
      <c r="K68" s="421"/>
      <c r="L68" s="421"/>
      <c r="M68" s="421"/>
      <c r="N68" s="421"/>
      <c r="O68" s="421"/>
      <c r="P68" s="421"/>
      <c r="Q68" s="421"/>
      <c r="R68" s="421"/>
      <c r="S68" s="421"/>
      <c r="T68" s="421"/>
      <c r="U68" s="421"/>
      <c r="V68" s="421"/>
      <c r="W68" s="421"/>
      <c r="X68" s="421"/>
      <c r="Y68" s="421"/>
      <c r="Z68" s="421"/>
      <c r="AA68" s="421"/>
      <c r="AB68" s="421"/>
      <c r="AC68" s="421"/>
      <c r="AD68" s="421"/>
    </row>
    <row r="69" spans="1:30">
      <c r="A69" s="423" t="s">
        <v>331</v>
      </c>
      <c r="B69" s="421"/>
      <c r="C69" s="421"/>
      <c r="D69" s="421"/>
      <c r="E69" s="421"/>
      <c r="F69" s="421"/>
      <c r="G69" s="421"/>
      <c r="H69" s="421"/>
      <c r="I69" s="421"/>
      <c r="J69" s="421"/>
      <c r="K69" s="421"/>
      <c r="L69" s="428"/>
      <c r="M69" s="428"/>
      <c r="N69" s="421"/>
      <c r="O69" s="421"/>
      <c r="P69" s="421"/>
      <c r="Q69" s="421"/>
      <c r="R69" s="426">
        <f>IF(AF75&lt;0,0,AF75)</f>
        <v>0</v>
      </c>
      <c r="S69" s="426"/>
      <c r="T69" s="426"/>
      <c r="U69" s="426"/>
      <c r="V69" s="421"/>
      <c r="W69" s="421"/>
      <c r="X69" s="423" t="s">
        <v>326</v>
      </c>
      <c r="Y69" s="421"/>
      <c r="Z69" s="421"/>
      <c r="AA69" s="421"/>
      <c r="AB69" s="421"/>
      <c r="AC69" s="421"/>
      <c r="AD69" s="421"/>
    </row>
    <row r="70" spans="1:37">
      <c r="A70" s="423"/>
      <c r="B70" s="421"/>
      <c r="C70" s="421"/>
      <c r="D70" s="421"/>
      <c r="E70" s="421"/>
      <c r="F70" s="421"/>
      <c r="G70" s="421"/>
      <c r="H70" s="421"/>
      <c r="I70" s="421"/>
      <c r="J70" s="421"/>
      <c r="K70" s="2775"/>
      <c r="L70" s="2775"/>
      <c r="M70" s="2775"/>
      <c r="N70" s="421"/>
      <c r="O70" s="421"/>
      <c r="P70" s="421"/>
      <c r="Q70" s="421"/>
      <c r="R70" s="421"/>
      <c r="S70" s="421"/>
      <c r="T70" s="421"/>
      <c r="U70" s="421"/>
      <c r="V70" s="421"/>
      <c r="W70" s="421"/>
      <c r="X70" s="421"/>
      <c r="Y70" s="421" t="s">
        <v>327</v>
      </c>
      <c r="Z70" s="421"/>
      <c r="AA70" s="421"/>
      <c r="AB70" s="421"/>
      <c r="AC70" s="421"/>
      <c r="AD70" s="421"/>
      <c r="AF70" s="2751">
        <f>IF(OR(ISBLANK(dateofdeparture)=True,(dateofdeparture-taxyearend)&lt;0),J53-R67,0)</f>
        <v>0</v>
      </c>
      <c r="AG70" s="2751"/>
      <c r="AH70" s="2751"/>
      <c r="AI70" s="2751"/>
      <c r="AK70" s="427" t="e">
        <f>IF(AND(AF70&lt;=0),"A",IF(AND(AF70&lt;=50000000),"B",IF(AND(AF70&gt;50000000,AF70&lt;=250000000),"C",IF(AND(AF70&gt;250000000,AF70&lt;=500000000),"D","E"))))</f>
        <v>#VALUE!</v>
      </c>
    </row>
    <row r="71" spans="1:35">
      <c r="A71" s="423" t="s">
        <v>332</v>
      </c>
      <c r="B71" s="421"/>
      <c r="C71" s="421"/>
      <c r="D71" s="421"/>
      <c r="E71" s="421"/>
      <c r="F71" s="421"/>
      <c r="G71" s="421"/>
      <c r="H71" s="421"/>
      <c r="I71" s="421"/>
      <c r="J71" s="421"/>
      <c r="K71" s="421"/>
      <c r="L71" s="421"/>
      <c r="M71" s="421"/>
      <c r="N71" s="421"/>
      <c r="O71" s="421"/>
      <c r="P71" s="421"/>
      <c r="Q71" s="421"/>
      <c r="R71" s="421"/>
      <c r="S71" s="421"/>
      <c r="T71" s="421"/>
      <c r="U71" s="421"/>
      <c r="V71" s="421"/>
      <c r="W71" s="421"/>
      <c r="X71" s="421"/>
      <c r="Y71" s="421" t="s">
        <v>328</v>
      </c>
      <c r="Z71" s="421"/>
      <c r="AA71" s="421"/>
      <c r="AB71" s="421"/>
      <c r="AC71" s="421"/>
      <c r="AD71" s="421"/>
      <c r="AF71" s="2760">
        <f>J54</f>
        <v>0</v>
      </c>
      <c r="AG71" s="2760"/>
      <c r="AH71" s="2760"/>
      <c r="AI71" s="2760"/>
    </row>
    <row r="72" spans="1:37">
      <c r="A72" s="423"/>
      <c r="B72" s="421" t="s">
        <v>327</v>
      </c>
      <c r="C72" s="421"/>
      <c r="D72" s="421"/>
      <c r="E72" s="421"/>
      <c r="F72" s="421"/>
      <c r="G72" s="421"/>
      <c r="H72" s="421"/>
      <c r="I72" s="421"/>
      <c r="J72" s="2772">
        <f>IF('GENERAL INFO'!$K$6="X",IF(AK60="A",0,IF(AK60="B",0.05*AF60,IF(AK60="C",0.15*AF60-5000000,IF(AK60="D",0.25*AF60-30000000,IF(AK60="E",0.3*AF60-55000000))))),0)</f>
        <v>0</v>
      </c>
      <c r="K72" s="2772"/>
      <c r="L72" s="2772"/>
      <c r="M72" s="2772"/>
      <c r="N72" s="421"/>
      <c r="O72" s="421"/>
      <c r="P72" s="421"/>
      <c r="Q72" s="421"/>
      <c r="R72" s="421"/>
      <c r="S72" s="421"/>
      <c r="T72" s="421"/>
      <c r="U72" s="421"/>
      <c r="V72" s="421"/>
      <c r="W72" s="421"/>
      <c r="X72" s="421"/>
      <c r="Y72" s="421" t="s">
        <v>329</v>
      </c>
      <c r="Z72" s="421"/>
      <c r="AA72" s="421"/>
      <c r="AB72" s="421"/>
      <c r="AC72" s="421"/>
      <c r="AD72" s="421"/>
      <c r="AF72" s="2751">
        <f>IF(OR(ISBLANK(dateofdeparture)=True,(dateofdeparture-taxyearend)&lt;0),AF70+AF71,0)</f>
        <v>0</v>
      </c>
      <c r="AG72" s="2751"/>
      <c r="AH72" s="2751"/>
      <c r="AI72" s="2751"/>
      <c r="AK72" s="427" t="e">
        <f>IF(AND(AF72&lt;=0),"A",IF(AND(AF72&lt;=50000000),"B",IF(AND(AF72&gt;50000000,AF72&lt;=250000000),"C",IF(AND(AF72&gt;250000000,AF72&lt;=500000000),"D","E"))))</f>
        <v>#VALUE!</v>
      </c>
    </row>
    <row r="73" spans="1:35">
      <c r="A73" s="423"/>
      <c r="B73" s="421" t="s">
        <v>328</v>
      </c>
      <c r="C73" s="421"/>
      <c r="D73" s="421"/>
      <c r="E73" s="421"/>
      <c r="F73" s="421"/>
      <c r="G73" s="421"/>
      <c r="H73" s="421"/>
      <c r="I73" s="421"/>
      <c r="J73" s="2773">
        <f>N74-J72</f>
        <v>0</v>
      </c>
      <c r="K73" s="2773"/>
      <c r="L73" s="2773"/>
      <c r="M73" s="2773"/>
      <c r="N73" s="421"/>
      <c r="O73" s="421"/>
      <c r="P73" s="421"/>
      <c r="Q73" s="421"/>
      <c r="R73" s="421"/>
      <c r="S73" s="421"/>
      <c r="T73" s="421"/>
      <c r="U73" s="421"/>
      <c r="V73" s="421"/>
      <c r="W73" s="421"/>
      <c r="X73" s="421"/>
      <c r="Y73" s="421" t="s">
        <v>322</v>
      </c>
      <c r="Z73" s="421"/>
      <c r="AA73" s="421"/>
      <c r="AB73" s="421"/>
      <c r="AC73" s="421"/>
      <c r="AD73" s="421"/>
      <c r="AF73" s="2751">
        <f>N59</f>
        <v>0</v>
      </c>
      <c r="AG73" s="2751"/>
      <c r="AH73" s="2751"/>
      <c r="AI73" s="2751"/>
    </row>
    <row r="74" spans="1:35">
      <c r="A74" s="421"/>
      <c r="B74" s="421" t="s">
        <v>333</v>
      </c>
      <c r="C74" s="421"/>
      <c r="D74" s="421"/>
      <c r="E74" s="421"/>
      <c r="F74" s="421"/>
      <c r="G74" s="421"/>
      <c r="H74" s="421"/>
      <c r="I74" s="421"/>
      <c r="J74" s="421"/>
      <c r="K74" s="421"/>
      <c r="L74" s="421"/>
      <c r="M74" s="421"/>
      <c r="N74" s="2772">
        <f>IF('GENERAL INFO'!$K$6="X",IF(AK62="A",0,IF(AK62="B",0.05*AF62,IF(AK62="C",0.15*AF62-5000000,IF(AK62="D",0.25*AF62-30000000,IF(AK62="E",0.3*AF62-55000000))))),0)</f>
        <v>0</v>
      </c>
      <c r="O74" s="2772"/>
      <c r="P74" s="2772"/>
      <c r="Q74" s="2772"/>
      <c r="R74" s="421"/>
      <c r="S74" s="421"/>
      <c r="T74" s="421"/>
      <c r="U74" s="421"/>
      <c r="V74" s="421"/>
      <c r="W74" s="421"/>
      <c r="X74" s="421"/>
      <c r="Y74" s="421" t="s">
        <v>323</v>
      </c>
      <c r="Z74" s="421"/>
      <c r="AA74" s="421"/>
      <c r="AB74" s="421"/>
      <c r="AC74" s="421"/>
      <c r="AD74" s="421"/>
      <c r="AF74" s="2760">
        <f>IF(OR(ISBLANK(dateofdeparture)=True,(dateofdeparture-taxyearend)&lt;0),N63,0)</f>
        <v>0</v>
      </c>
      <c r="AG74" s="2760"/>
      <c r="AH74" s="2760"/>
      <c r="AI74" s="2760"/>
    </row>
    <row r="75" spans="1:37">
      <c r="A75" s="423"/>
      <c r="B75" s="421" t="s">
        <v>334</v>
      </c>
      <c r="C75" s="421"/>
      <c r="D75" s="421"/>
      <c r="E75" s="421"/>
      <c r="F75" s="421"/>
      <c r="G75" s="421"/>
      <c r="H75" s="421"/>
      <c r="I75" s="421"/>
      <c r="J75" s="421"/>
      <c r="K75" s="421"/>
      <c r="L75" s="421"/>
      <c r="M75" s="421"/>
      <c r="N75" s="2773">
        <f>R76-N74</f>
        <v>0</v>
      </c>
      <c r="O75" s="2773"/>
      <c r="P75" s="2773"/>
      <c r="Q75" s="2773"/>
      <c r="R75" s="421"/>
      <c r="S75" s="421"/>
      <c r="T75" s="421"/>
      <c r="U75" s="421"/>
      <c r="V75" s="421"/>
      <c r="W75" s="421"/>
      <c r="X75" s="421"/>
      <c r="Y75" s="421" t="s">
        <v>347</v>
      </c>
      <c r="Z75" s="421"/>
      <c r="AA75" s="421"/>
      <c r="AB75" s="421"/>
      <c r="AC75" s="421"/>
      <c r="AD75" s="421"/>
      <c r="AF75" s="2751">
        <f>SUM(AF72:AI74)</f>
        <v>0</v>
      </c>
      <c r="AG75" s="2751"/>
      <c r="AH75" s="2751"/>
      <c r="AI75" s="2751"/>
      <c r="AK75" s="427" t="e">
        <f>IF(AND(AF75&lt;=0),"A",IF(AND(AF75&lt;=50000000),"B",IF(AND(AF75&gt;50000000,AF75&lt;=250000000),"C",IF(AND(AF75&gt;250000000,AF75&lt;=500000000),"D","E"))))</f>
        <v>#VALUE!</v>
      </c>
    </row>
    <row r="76" spans="1:37">
      <c r="A76" s="423"/>
      <c r="B76" s="421" t="s">
        <v>335</v>
      </c>
      <c r="C76" s="421"/>
      <c r="D76" s="421"/>
      <c r="E76" s="421"/>
      <c r="F76" s="421"/>
      <c r="G76" s="421"/>
      <c r="H76" s="421"/>
      <c r="I76" s="421"/>
      <c r="J76" s="421"/>
      <c r="K76" s="421"/>
      <c r="L76" s="421"/>
      <c r="M76" s="421"/>
      <c r="N76" s="421"/>
      <c r="O76" s="421"/>
      <c r="P76" s="421"/>
      <c r="Q76" s="421"/>
      <c r="R76" s="2773">
        <f>IF(OR(ISBLANK(dateofdeparture)=True,(dateofdeparture-taxyearend)&lt;0),IF(AK76="A",0,IF(AK76="B",0.05*AF76,IF(AK76="C",0.15*AF76-5000000,IF(AK76="D",0.25*AF76-30000000,IF(AK76="E",0.3*AF76-55000000))))),0)</f>
        <v>0</v>
      </c>
      <c r="S76" s="2773"/>
      <c r="T76" s="2773"/>
      <c r="U76" s="2773"/>
      <c r="V76" s="421"/>
      <c r="W76" s="421"/>
      <c r="X76" s="421"/>
      <c r="Y76" s="421" t="s">
        <v>336</v>
      </c>
      <c r="Z76" s="421"/>
      <c r="AA76" s="421"/>
      <c r="AB76" s="421"/>
      <c r="AC76" s="421"/>
      <c r="AD76" s="421"/>
      <c r="AF76" s="2755">
        <f>IF(AF75&lt;0,0,INT(AF75/1000)*1000)</f>
        <v>0</v>
      </c>
      <c r="AG76" s="2755"/>
      <c r="AH76" s="2755"/>
      <c r="AI76" s="2755"/>
      <c r="AK76" s="427" t="e">
        <f>IF(AND(AF76&lt;=0),"A",IF(AND(AF76&lt;=50000000),"B",IF(AND(AF76&gt;50000000,AF76&lt;=250000000),"C",IF(AND(AF76&gt;250000000,AF76&lt;=500000000),"D","E"))))</f>
        <v>#VALUE!</v>
      </c>
    </row>
    <row r="77" spans="1:30">
      <c r="A77" s="423"/>
      <c r="B77" s="421"/>
      <c r="C77" s="421"/>
      <c r="D77" s="421"/>
      <c r="E77" s="421"/>
      <c r="F77" s="421"/>
      <c r="G77" s="421"/>
      <c r="H77" s="421"/>
      <c r="I77" s="421"/>
      <c r="J77" s="421"/>
      <c r="K77" s="421"/>
      <c r="L77" s="421"/>
      <c r="M77" s="421"/>
      <c r="N77" s="421"/>
      <c r="O77" s="421"/>
      <c r="P77" s="421"/>
      <c r="Q77" s="421"/>
      <c r="R77" s="421"/>
      <c r="S77" s="421"/>
      <c r="T77" s="421"/>
      <c r="U77" s="421"/>
      <c r="V77" s="421"/>
      <c r="W77" s="421"/>
      <c r="X77" s="421"/>
      <c r="Y77" s="421"/>
      <c r="Z77" s="421"/>
      <c r="AA77" s="421"/>
      <c r="AB77" s="421"/>
      <c r="AC77" s="421"/>
      <c r="AD77" s="421"/>
    </row>
    <row r="78" spans="1:30">
      <c r="A78" s="423" t="s">
        <v>337</v>
      </c>
      <c r="B78" s="421"/>
      <c r="C78" s="421"/>
      <c r="D78" s="421"/>
      <c r="E78" s="421"/>
      <c r="F78" s="421"/>
      <c r="G78" s="421"/>
      <c r="H78" s="421"/>
      <c r="I78" s="421"/>
      <c r="J78" s="421"/>
      <c r="K78" s="421"/>
      <c r="L78" s="421"/>
      <c r="M78" s="421"/>
      <c r="N78" s="421"/>
      <c r="O78" s="421"/>
      <c r="P78" s="421"/>
      <c r="Q78" s="421"/>
      <c r="R78" s="421"/>
      <c r="S78" s="421"/>
      <c r="T78" s="421"/>
      <c r="U78" s="421"/>
      <c r="V78" s="421"/>
      <c r="W78" s="421"/>
      <c r="X78" s="421"/>
      <c r="Y78" s="421"/>
      <c r="Z78" s="421"/>
      <c r="AA78" s="421"/>
      <c r="AB78" s="421"/>
      <c r="AC78" s="421"/>
      <c r="AD78" s="421"/>
    </row>
    <row r="79" spans="1:30">
      <c r="A79" s="421"/>
      <c r="B79" s="421" t="s">
        <v>327</v>
      </c>
      <c r="C79" s="421"/>
      <c r="D79" s="421"/>
      <c r="E79" s="421"/>
      <c r="F79" s="421"/>
      <c r="G79" s="421"/>
      <c r="H79" s="421"/>
      <c r="I79" s="421"/>
      <c r="J79" s="426">
        <f>J72/12*WORKPERIOD</f>
        <v>0</v>
      </c>
      <c r="K79" s="426"/>
      <c r="L79" s="426"/>
      <c r="M79" s="426"/>
      <c r="N79" s="421"/>
      <c r="O79" s="421"/>
      <c r="P79" s="421"/>
      <c r="Q79" s="421"/>
      <c r="R79" s="421"/>
      <c r="S79" s="421"/>
      <c r="T79" s="421"/>
      <c r="U79" s="421"/>
      <c r="V79" s="421"/>
      <c r="W79" s="421"/>
      <c r="X79" s="421"/>
      <c r="Y79" s="421"/>
      <c r="Z79" s="421"/>
      <c r="AA79" s="421"/>
      <c r="AB79" s="421"/>
      <c r="AC79" s="421"/>
      <c r="AD79" s="421"/>
    </row>
    <row r="80" spans="1:30">
      <c r="A80" s="421"/>
      <c r="B80" s="421" t="s">
        <v>328</v>
      </c>
      <c r="C80" s="421"/>
      <c r="D80" s="421"/>
      <c r="E80" s="421"/>
      <c r="F80" s="421"/>
      <c r="G80" s="421"/>
      <c r="H80" s="421"/>
      <c r="I80" s="421"/>
      <c r="J80" s="2771">
        <f>J73*'GENERAL INFO'!V109/12</f>
        <v>0</v>
      </c>
      <c r="K80" s="2771"/>
      <c r="L80" s="2771"/>
      <c r="M80" s="2771"/>
      <c r="N80" s="421"/>
      <c r="O80" s="421"/>
      <c r="P80" s="421"/>
      <c r="Q80" s="421"/>
      <c r="R80" s="421"/>
      <c r="S80" s="421"/>
      <c r="T80" s="421"/>
      <c r="U80" s="421"/>
      <c r="V80" s="421"/>
      <c r="W80" s="421"/>
      <c r="X80" s="421"/>
      <c r="Y80" s="421"/>
      <c r="Z80" s="421"/>
      <c r="AA80" s="421"/>
      <c r="AB80" s="421"/>
      <c r="AC80" s="421"/>
      <c r="AD80" s="421"/>
    </row>
    <row r="81" spans="1:30">
      <c r="A81" s="421"/>
      <c r="B81" s="421" t="s">
        <v>333</v>
      </c>
      <c r="C81" s="421"/>
      <c r="D81" s="421"/>
      <c r="E81" s="421"/>
      <c r="F81" s="421"/>
      <c r="G81" s="421"/>
      <c r="H81" s="421"/>
      <c r="I81" s="421"/>
      <c r="J81" s="428"/>
      <c r="K81" s="428"/>
      <c r="L81" s="428"/>
      <c r="M81" s="428"/>
      <c r="N81" s="2772">
        <f>J79+J80</f>
        <v>0</v>
      </c>
      <c r="O81" s="2772"/>
      <c r="P81" s="2772"/>
      <c r="Q81" s="2772"/>
      <c r="R81" s="421"/>
      <c r="S81" s="421"/>
      <c r="T81" s="421"/>
      <c r="U81" s="421"/>
      <c r="V81" s="421"/>
      <c r="W81" s="421"/>
      <c r="X81" s="421"/>
      <c r="Y81" s="421"/>
      <c r="Z81" s="421"/>
      <c r="AA81" s="421"/>
      <c r="AB81" s="421"/>
      <c r="AC81" s="421"/>
      <c r="AD81" s="421"/>
    </row>
    <row r="82" spans="1:30">
      <c r="A82" s="421"/>
      <c r="B82" s="421" t="s">
        <v>334</v>
      </c>
      <c r="C82" s="421"/>
      <c r="D82" s="421"/>
      <c r="E82" s="421"/>
      <c r="F82" s="421"/>
      <c r="G82" s="421"/>
      <c r="H82" s="421"/>
      <c r="I82" s="421"/>
      <c r="J82" s="421"/>
      <c r="K82" s="421"/>
      <c r="L82" s="421"/>
      <c r="M82" s="421"/>
      <c r="N82" s="2773">
        <f>N75/12*WORKPERIOD</f>
        <v>0</v>
      </c>
      <c r="O82" s="2773"/>
      <c r="P82" s="2773"/>
      <c r="Q82" s="2773"/>
      <c r="R82" s="421"/>
      <c r="S82" s="421"/>
      <c r="T82" s="421"/>
      <c r="U82" s="421"/>
      <c r="V82" s="421"/>
      <c r="W82" s="421"/>
      <c r="X82" s="421"/>
      <c r="Y82" s="421"/>
      <c r="Z82" s="421"/>
      <c r="AA82" s="421"/>
      <c r="AB82" s="421"/>
      <c r="AC82" s="421"/>
      <c r="AD82" s="421"/>
    </row>
    <row r="83" spans="1:30">
      <c r="A83" s="421"/>
      <c r="B83" s="423" t="s">
        <v>338</v>
      </c>
      <c r="C83" s="421"/>
      <c r="D83" s="421"/>
      <c r="E83" s="421"/>
      <c r="F83" s="421"/>
      <c r="G83" s="421"/>
      <c r="H83" s="421"/>
      <c r="I83" s="421"/>
      <c r="J83" s="421"/>
      <c r="K83" s="421"/>
      <c r="L83" s="421"/>
      <c r="M83" s="421"/>
      <c r="N83" s="421"/>
      <c r="O83" s="421"/>
      <c r="P83" s="421"/>
      <c r="Q83" s="421"/>
      <c r="R83" s="2769">
        <f>N81+N82</f>
        <v>0</v>
      </c>
      <c r="S83" s="2769"/>
      <c r="T83" s="2769"/>
      <c r="U83" s="2769"/>
      <c r="V83" s="421"/>
      <c r="W83" s="421"/>
      <c r="X83" s="421"/>
      <c r="Y83" s="421"/>
      <c r="Z83" s="421"/>
      <c r="AA83" s="421"/>
      <c r="AB83" s="421"/>
      <c r="AC83" s="421"/>
      <c r="AD83" s="421"/>
    </row>
    <row r="84" spans="1:30">
      <c r="A84" s="421"/>
      <c r="B84" s="421"/>
      <c r="C84" s="421"/>
      <c r="D84" s="421"/>
      <c r="E84" s="421"/>
      <c r="F84" s="421"/>
      <c r="G84" s="421"/>
      <c r="H84" s="421"/>
      <c r="I84" s="421"/>
      <c r="J84" s="421"/>
      <c r="K84" s="421"/>
      <c r="L84" s="421"/>
      <c r="M84" s="421"/>
      <c r="N84" s="421"/>
      <c r="O84" s="421"/>
      <c r="P84" s="421"/>
      <c r="Q84" s="421"/>
      <c r="R84" s="421"/>
      <c r="S84" s="421"/>
      <c r="T84" s="421"/>
      <c r="U84" s="421"/>
      <c r="V84" s="421"/>
      <c r="W84" s="421"/>
      <c r="X84" s="421"/>
      <c r="Y84" s="421"/>
      <c r="Z84" s="421"/>
      <c r="AA84" s="421"/>
      <c r="AB84" s="421"/>
      <c r="AC84" s="421"/>
      <c r="AD84" s="421"/>
    </row>
    <row r="85" spans="1:30">
      <c r="A85" s="423" t="s">
        <v>348</v>
      </c>
      <c r="B85" s="421"/>
      <c r="C85" s="421"/>
      <c r="D85" s="421"/>
      <c r="E85" s="421"/>
      <c r="F85" s="421"/>
      <c r="G85" s="421"/>
      <c r="H85" s="421"/>
      <c r="I85" s="421"/>
      <c r="J85" s="421"/>
      <c r="K85" s="421"/>
      <c r="L85" s="421"/>
      <c r="M85" s="421"/>
      <c r="N85" s="421"/>
      <c r="O85" s="421"/>
      <c r="P85" s="421"/>
      <c r="Q85" s="421"/>
      <c r="R85" s="421"/>
      <c r="S85" s="421"/>
      <c r="T85" s="421"/>
      <c r="U85" s="421"/>
      <c r="V85" s="421"/>
      <c r="W85" s="421"/>
      <c r="X85" s="421"/>
      <c r="Y85" s="421"/>
      <c r="Z85" s="421"/>
      <c r="AA85" s="421"/>
      <c r="AB85" s="421"/>
      <c r="AC85" s="421"/>
      <c r="AD85" s="421"/>
    </row>
    <row r="86" spans="1:30">
      <c r="A86" s="421"/>
      <c r="B86" s="421" t="s">
        <v>349</v>
      </c>
      <c r="C86" s="421"/>
      <c r="D86" s="421"/>
      <c r="E86" s="421"/>
      <c r="F86" s="421"/>
      <c r="G86" s="421"/>
      <c r="H86" s="421"/>
      <c r="I86" s="421"/>
      <c r="J86" s="421"/>
      <c r="K86" s="421"/>
      <c r="L86" s="421"/>
      <c r="M86" s="421"/>
      <c r="N86" s="426">
        <f>IF(OR(ISBLANK(dateofdeparture)=True,(dateofdeparture-taxyearend)&gt;0),'GENERAL INFO'!V151,0)</f>
        <v>0</v>
      </c>
      <c r="O86" s="426"/>
      <c r="P86" s="426"/>
      <c r="Q86" s="426"/>
      <c r="R86" s="421"/>
      <c r="S86" s="421"/>
      <c r="T86" s="421"/>
      <c r="U86" s="421"/>
      <c r="V86" s="421"/>
      <c r="W86" s="421"/>
      <c r="X86" s="421"/>
      <c r="Y86" s="421"/>
      <c r="Z86" s="421"/>
      <c r="AA86" s="421"/>
      <c r="AB86" s="421"/>
      <c r="AC86" s="421"/>
      <c r="AD86" s="421"/>
    </row>
    <row r="87" spans="1:30">
      <c r="A87" s="421"/>
      <c r="B87" s="421" t="s">
        <v>1018</v>
      </c>
      <c r="C87" s="421"/>
      <c r="D87" s="421"/>
      <c r="E87" s="421"/>
      <c r="F87" s="421"/>
      <c r="G87" s="421"/>
      <c r="H87" s="421"/>
      <c r="I87" s="421"/>
      <c r="J87" s="421"/>
      <c r="K87" s="421"/>
      <c r="L87" s="421"/>
      <c r="M87" s="421"/>
      <c r="N87" s="426">
        <f>IF(OR(ISBLANK(dateofdeparture)=True,(dateofdeparture-taxyearend)&gt;0),'JAPANESE INCOME'!J149,0)</f>
        <v>0</v>
      </c>
      <c r="O87" s="426"/>
      <c r="P87" s="426"/>
      <c r="Q87" s="426"/>
      <c r="R87" s="421"/>
      <c r="S87" s="421"/>
      <c r="T87" s="421"/>
      <c r="U87" s="421"/>
      <c r="V87" s="421"/>
      <c r="W87" s="421"/>
      <c r="X87" s="421"/>
      <c r="Y87" s="421"/>
      <c r="Z87" s="421"/>
      <c r="AA87" s="421"/>
      <c r="AB87" s="421"/>
      <c r="AC87" s="421"/>
      <c r="AD87" s="421"/>
    </row>
    <row r="88" spans="1:30">
      <c r="A88" s="421"/>
      <c r="B88" s="421" t="s">
        <v>1017</v>
      </c>
      <c r="C88" s="421"/>
      <c r="D88" s="421"/>
      <c r="E88" s="421"/>
      <c r="F88" s="421"/>
      <c r="G88" s="421"/>
      <c r="H88" s="421"/>
      <c r="I88" s="421"/>
      <c r="J88" s="421"/>
      <c r="K88" s="421"/>
      <c r="L88" s="421"/>
      <c r="M88" s="421"/>
      <c r="N88" s="2774">
        <f>IF(OR(ISBLANK(dateofdeparture)=True,(dateofdeparture-taxyearend)&gt;0),-'JAPANESE INCOME'!J163,0)</f>
        <v>0</v>
      </c>
      <c r="O88" s="2774"/>
      <c r="P88" s="2774"/>
      <c r="Q88" s="2774"/>
      <c r="R88" s="421"/>
      <c r="S88" s="421"/>
      <c r="T88" s="421"/>
      <c r="U88" s="421"/>
      <c r="V88" s="421"/>
      <c r="W88" s="421"/>
      <c r="X88" s="421"/>
      <c r="Y88" s="421"/>
      <c r="Z88" s="421"/>
      <c r="AA88" s="421"/>
      <c r="AB88" s="421"/>
      <c r="AC88" s="421"/>
      <c r="AD88" s="421"/>
    </row>
    <row r="89" spans="1:30">
      <c r="A89" s="421"/>
      <c r="B89" s="421" t="s">
        <v>350</v>
      </c>
      <c r="C89" s="421"/>
      <c r="D89" s="421"/>
      <c r="E89" s="421"/>
      <c r="F89" s="421"/>
      <c r="G89" s="421"/>
      <c r="H89" s="421"/>
      <c r="I89" s="421"/>
      <c r="J89" s="421"/>
      <c r="K89" s="421"/>
      <c r="L89" s="421"/>
      <c r="M89" s="421"/>
      <c r="N89" s="421"/>
      <c r="O89" s="421"/>
      <c r="P89" s="421"/>
      <c r="Q89" s="421"/>
      <c r="R89" s="2769">
        <f>+SUM(N86:Q88)</f>
        <v>0</v>
      </c>
      <c r="S89" s="2769"/>
      <c r="T89" s="2769"/>
      <c r="U89" s="2769"/>
      <c r="V89" s="421"/>
      <c r="W89" s="421"/>
      <c r="X89" s="421"/>
      <c r="Y89" s="421"/>
      <c r="Z89" s="421"/>
      <c r="AA89" s="421"/>
      <c r="AB89" s="421"/>
      <c r="AC89" s="421"/>
      <c r="AD89" s="421"/>
    </row>
    <row r="90" spans="1:30">
      <c r="A90" s="421"/>
      <c r="B90" s="421"/>
      <c r="C90" s="421"/>
      <c r="D90" s="421"/>
      <c r="E90" s="421"/>
      <c r="F90" s="421"/>
      <c r="G90" s="421"/>
      <c r="H90" s="421"/>
      <c r="I90" s="421"/>
      <c r="J90" s="421"/>
      <c r="K90" s="421"/>
      <c r="L90" s="421"/>
      <c r="M90" s="421"/>
      <c r="N90" s="421"/>
      <c r="O90" s="421"/>
      <c r="P90" s="421"/>
      <c r="Q90" s="421"/>
      <c r="R90" s="429"/>
      <c r="S90" s="429"/>
      <c r="T90" s="429"/>
      <c r="U90" s="429"/>
      <c r="V90" s="421"/>
      <c r="W90" s="421"/>
      <c r="X90" s="421"/>
      <c r="Y90" s="421"/>
      <c r="Z90" s="421"/>
      <c r="AA90" s="421"/>
      <c r="AB90" s="421"/>
      <c r="AC90" s="421"/>
      <c r="AD90" s="421"/>
    </row>
    <row r="91" spans="1:30">
      <c r="A91" s="421"/>
      <c r="B91" s="421"/>
      <c r="C91" s="421"/>
      <c r="D91" s="421"/>
      <c r="E91" s="421"/>
      <c r="F91" s="421"/>
      <c r="G91" s="421"/>
      <c r="H91" s="421"/>
      <c r="I91" s="421"/>
      <c r="J91" s="421"/>
      <c r="K91" s="421"/>
      <c r="L91" s="421"/>
      <c r="M91" s="421"/>
      <c r="N91" s="421"/>
      <c r="O91" s="421"/>
      <c r="P91" s="421"/>
      <c r="Q91" s="421"/>
      <c r="R91" s="421"/>
      <c r="S91" s="421"/>
      <c r="T91" s="421"/>
      <c r="U91" s="421"/>
      <c r="V91" s="421"/>
      <c r="W91" s="421"/>
      <c r="X91" s="421"/>
      <c r="Y91" s="421"/>
      <c r="Z91" s="421"/>
      <c r="AA91" s="421"/>
      <c r="AB91" s="421"/>
      <c r="AC91" s="421"/>
      <c r="AD91" s="421"/>
    </row>
    <row r="92" spans="1:30">
      <c r="A92" s="423" t="s">
        <v>351</v>
      </c>
      <c r="B92" s="421"/>
      <c r="C92" s="421"/>
      <c r="D92" s="421"/>
      <c r="E92" s="421"/>
      <c r="F92" s="421"/>
      <c r="G92" s="421"/>
      <c r="H92" s="421"/>
      <c r="I92" s="421"/>
      <c r="J92" s="421"/>
      <c r="K92" s="421"/>
      <c r="L92" s="421"/>
      <c r="M92" s="421"/>
      <c r="N92" s="421"/>
      <c r="O92" s="421"/>
      <c r="P92" s="421"/>
      <c r="Q92" s="421"/>
      <c r="R92" s="2769">
        <f>+R83-R89</f>
        <v>0</v>
      </c>
      <c r="S92" s="2769"/>
      <c r="T92" s="2769"/>
      <c r="U92" s="2769"/>
      <c r="V92" s="421"/>
      <c r="W92" s="421"/>
      <c r="X92" s="421"/>
      <c r="Y92" s="421"/>
      <c r="Z92" s="421"/>
      <c r="AA92" s="421"/>
      <c r="AB92" s="421"/>
      <c r="AC92" s="421"/>
      <c r="AD92" s="421"/>
    </row>
    <row r="93" spans="1:30">
      <c r="A93" s="421"/>
      <c r="B93" s="421"/>
      <c r="C93" s="421"/>
      <c r="D93" s="421"/>
      <c r="E93" s="421"/>
      <c r="F93" s="421"/>
      <c r="G93" s="421"/>
      <c r="H93" s="421"/>
      <c r="I93" s="421"/>
      <c r="J93" s="421"/>
      <c r="K93" s="421"/>
      <c r="L93" s="421"/>
      <c r="M93" s="421"/>
      <c r="N93" s="421"/>
      <c r="O93" s="421"/>
      <c r="P93" s="421"/>
      <c r="Q93" s="421"/>
      <c r="R93" s="421"/>
      <c r="S93" s="421"/>
      <c r="T93" s="421"/>
      <c r="U93" s="421"/>
      <c r="V93" s="421"/>
      <c r="W93" s="421"/>
      <c r="X93" s="421"/>
      <c r="Y93" s="421"/>
      <c r="Z93" s="421"/>
      <c r="AA93" s="421"/>
      <c r="AB93" s="421"/>
      <c r="AC93" s="421"/>
      <c r="AD93" s="421"/>
    </row>
    <row r="94" spans="1:30">
      <c r="A94" s="423" t="s">
        <v>352</v>
      </c>
      <c r="B94" s="421"/>
      <c r="C94" s="421"/>
      <c r="D94" s="421"/>
      <c r="E94" s="421"/>
      <c r="F94" s="421"/>
      <c r="G94" s="421"/>
      <c r="H94" s="421"/>
      <c r="I94" s="421"/>
      <c r="J94" s="421"/>
      <c r="K94" s="421"/>
      <c r="L94" s="421"/>
      <c r="M94" s="421"/>
      <c r="N94" s="421"/>
      <c r="O94" s="421"/>
      <c r="P94" s="421"/>
      <c r="Q94" s="421"/>
      <c r="R94" s="2770">
        <f>IF(WORKPERIOD&gt;12,12,WORKPERIOD)</f>
        <v>6</v>
      </c>
      <c r="S94" s="2770"/>
      <c r="T94" s="2770"/>
      <c r="U94" s="2770"/>
      <c r="V94" s="421"/>
      <c r="W94" s="421"/>
      <c r="X94" s="421"/>
      <c r="Y94" s="421"/>
      <c r="Z94" s="421"/>
      <c r="AA94" s="421"/>
      <c r="AB94" s="421"/>
      <c r="AC94" s="421"/>
      <c r="AD94" s="421"/>
    </row>
    <row r="95" spans="1:30">
      <c r="A95" s="423"/>
      <c r="B95" s="421"/>
      <c r="C95" s="421"/>
      <c r="D95" s="421"/>
      <c r="E95" s="421"/>
      <c r="F95" s="421"/>
      <c r="G95" s="421"/>
      <c r="H95" s="421"/>
      <c r="I95" s="421"/>
      <c r="J95" s="421"/>
      <c r="K95" s="421"/>
      <c r="L95" s="421"/>
      <c r="M95" s="421"/>
      <c r="N95" s="421"/>
      <c r="O95" s="421"/>
      <c r="P95" s="421"/>
      <c r="Q95" s="421"/>
      <c r="R95" s="421"/>
      <c r="S95" s="421"/>
      <c r="T95" s="421"/>
      <c r="U95" s="421"/>
      <c r="V95" s="421"/>
      <c r="W95" s="421"/>
      <c r="X95" s="421"/>
      <c r="Y95" s="421"/>
      <c r="Z95" s="421"/>
      <c r="AA95" s="421"/>
      <c r="AB95" s="421"/>
      <c r="AC95" s="421"/>
      <c r="AD95" s="421"/>
    </row>
    <row r="96" spans="1:30" ht="13.5" customHeight="1" thickBot="1">
      <c r="A96" s="423" t="s">
        <v>353</v>
      </c>
      <c r="B96" s="421"/>
      <c r="C96" s="421"/>
      <c r="D96" s="421"/>
      <c r="E96" s="421"/>
      <c r="F96" s="421"/>
      <c r="G96" s="421"/>
      <c r="H96" s="421"/>
      <c r="I96" s="421"/>
      <c r="J96" s="421"/>
      <c r="K96" s="421"/>
      <c r="L96" s="421"/>
      <c r="M96" s="421"/>
      <c r="N96" s="421"/>
      <c r="O96" s="421"/>
      <c r="P96" s="421"/>
      <c r="Q96" s="421"/>
      <c r="R96" s="2752">
        <f>R92/R94</f>
        <v>0</v>
      </c>
      <c r="S96" s="2752"/>
      <c r="T96" s="2752"/>
      <c r="U96" s="2752"/>
      <c r="V96" s="421"/>
      <c r="W96" s="421"/>
      <c r="X96" s="421"/>
      <c r="Y96" s="421"/>
      <c r="Z96" s="421"/>
      <c r="AA96" s="421"/>
      <c r="AB96" s="421"/>
      <c r="AC96" s="421"/>
      <c r="AD96" s="421"/>
    </row>
    <row r="97" spans="1:30" ht="13.5" customHeight="1" thickTop="1">
      <c r="A97" s="421"/>
      <c r="B97" s="421"/>
      <c r="C97" s="421"/>
      <c r="D97" s="421"/>
      <c r="E97" s="421"/>
      <c r="F97" s="421"/>
      <c r="G97" s="421"/>
      <c r="H97" s="421"/>
      <c r="I97" s="421"/>
      <c r="J97" s="421"/>
      <c r="K97" s="421"/>
      <c r="L97" s="421"/>
      <c r="M97" s="421"/>
      <c r="N97" s="421"/>
      <c r="O97" s="421"/>
      <c r="P97" s="421"/>
      <c r="Q97" s="421"/>
      <c r="R97" s="421"/>
      <c r="S97" s="421"/>
      <c r="T97" s="421"/>
      <c r="U97" s="421"/>
      <c r="V97" s="421"/>
      <c r="W97" s="421"/>
      <c r="X97" s="421"/>
      <c r="Y97" s="421"/>
      <c r="Z97" s="421"/>
      <c r="AA97" s="421"/>
      <c r="AB97" s="421"/>
      <c r="AC97" s="421"/>
      <c r="AD97" s="421"/>
    </row>
    <row r="98" spans="1:29">
      <c r="A98" s="419" t="s">
        <v>354</v>
      </c>
      <c r="B98" s="420"/>
      <c r="C98" s="420"/>
      <c r="D98" s="420"/>
      <c r="E98" s="420"/>
      <c r="F98" s="420"/>
      <c r="G98" s="420"/>
      <c r="H98" s="420"/>
      <c r="I98" s="420"/>
      <c r="J98" s="420"/>
      <c r="K98" s="420"/>
      <c r="L98" s="420"/>
      <c r="M98" s="420"/>
      <c r="N98" s="420"/>
      <c r="O98" s="420"/>
      <c r="P98" s="420"/>
      <c r="Q98" s="420"/>
      <c r="R98" s="420"/>
      <c r="S98" s="420"/>
      <c r="T98" s="420"/>
      <c r="U98" s="420"/>
      <c r="V98" s="420"/>
      <c r="W98" s="420"/>
      <c r="X98" s="420"/>
      <c r="Y98" s="420"/>
      <c r="Z98" s="420"/>
      <c r="AA98" s="420"/>
      <c r="AB98" s="420"/>
      <c r="AC98" s="420"/>
    </row>
    <row r="99" spans="1:31">
      <c r="A99" s="431"/>
      <c r="B99" s="431"/>
      <c r="C99" s="431"/>
      <c r="D99" s="431"/>
      <c r="E99" s="431"/>
      <c r="F99" s="431"/>
      <c r="G99" s="431"/>
      <c r="H99" s="431"/>
      <c r="I99" s="431"/>
      <c r="J99" s="431"/>
      <c r="K99" s="431"/>
      <c r="L99" s="431"/>
      <c r="M99" s="431"/>
      <c r="N99" s="431"/>
      <c r="O99" s="431"/>
      <c r="P99" s="431"/>
      <c r="Q99" s="431"/>
      <c r="R99" s="431"/>
      <c r="S99" s="431"/>
      <c r="T99" s="431"/>
      <c r="U99" s="431"/>
      <c r="V99" s="431"/>
      <c r="W99" s="431"/>
      <c r="X99" s="431"/>
      <c r="Y99" s="431"/>
      <c r="Z99" s="431"/>
      <c r="AA99" s="431"/>
      <c r="AB99" s="431"/>
      <c r="AC99" s="431"/>
      <c r="AD99" s="431"/>
      <c r="AE99" s="431"/>
    </row>
    <row r="100" spans="1:31" ht="20.25" customHeight="1">
      <c r="A100" s="432" t="s">
        <v>317</v>
      </c>
      <c r="B100" s="431"/>
      <c r="C100" s="431"/>
      <c r="D100" s="431"/>
      <c r="E100" s="431"/>
      <c r="F100" s="431"/>
      <c r="G100" s="431"/>
      <c r="H100" s="431"/>
      <c r="I100" s="431"/>
      <c r="J100" s="431"/>
      <c r="K100" s="431"/>
      <c r="L100" s="431"/>
      <c r="M100" s="431"/>
      <c r="N100" s="431"/>
      <c r="O100" s="431"/>
      <c r="P100" s="431"/>
      <c r="Q100" s="431"/>
      <c r="R100" s="431"/>
      <c r="S100" s="431"/>
      <c r="T100" s="431"/>
      <c r="U100" s="431"/>
      <c r="V100" s="431"/>
      <c r="W100" s="431"/>
      <c r="X100" s="431"/>
      <c r="Y100" s="431"/>
      <c r="Z100" s="431"/>
      <c r="AA100" s="431"/>
      <c r="AB100" s="431"/>
      <c r="AC100" s="431"/>
      <c r="AD100" s="431"/>
      <c r="AE100" s="431"/>
    </row>
    <row r="101" spans="1:31">
      <c r="A101" s="431"/>
      <c r="B101" s="431"/>
      <c r="C101" s="431"/>
      <c r="D101" s="431"/>
      <c r="E101" s="431"/>
      <c r="F101" s="431"/>
      <c r="G101" s="431"/>
      <c r="H101" s="431"/>
      <c r="I101" s="431"/>
      <c r="J101" s="431"/>
      <c r="K101" s="431"/>
      <c r="L101" s="431"/>
      <c r="M101" s="431"/>
      <c r="N101" s="431"/>
      <c r="O101" s="431"/>
      <c r="P101" s="431"/>
      <c r="Q101" s="431"/>
      <c r="R101" s="431"/>
      <c r="S101" s="431"/>
      <c r="T101" s="431"/>
      <c r="U101" s="431"/>
      <c r="V101" s="431"/>
      <c r="W101" s="431"/>
      <c r="X101" s="431"/>
      <c r="Y101" s="431"/>
      <c r="Z101" s="431"/>
      <c r="AA101" s="431"/>
      <c r="AB101" s="431"/>
      <c r="AC101" s="431"/>
      <c r="AD101" s="431"/>
      <c r="AE101" s="431"/>
    </row>
    <row r="102" spans="1:31">
      <c r="A102" s="433" t="s">
        <v>318</v>
      </c>
      <c r="B102" s="431"/>
      <c r="C102" s="431"/>
      <c r="D102" s="431"/>
      <c r="E102" s="431"/>
      <c r="F102" s="431"/>
      <c r="G102" s="431"/>
      <c r="H102" s="431"/>
      <c r="I102" s="431"/>
      <c r="J102" s="431"/>
      <c r="K102" s="431"/>
      <c r="L102" s="431"/>
      <c r="M102" s="431"/>
      <c r="N102" s="431"/>
      <c r="O102" s="431"/>
      <c r="P102" s="431"/>
      <c r="Q102" s="431"/>
      <c r="R102" s="431"/>
      <c r="S102" s="431"/>
      <c r="T102" s="431"/>
      <c r="U102" s="431"/>
      <c r="V102" s="431"/>
      <c r="W102" s="431"/>
      <c r="X102" s="431"/>
      <c r="Y102" s="431"/>
      <c r="Z102" s="431"/>
      <c r="AA102" s="431"/>
      <c r="AB102" s="431"/>
      <c r="AC102" s="431"/>
      <c r="AD102" s="431"/>
      <c r="AE102" s="431"/>
    </row>
    <row r="103" spans="1:31">
      <c r="A103" s="431"/>
      <c r="B103" s="434" t="s">
        <v>319</v>
      </c>
      <c r="C103" s="431"/>
      <c r="D103" s="431"/>
      <c r="E103" s="431"/>
      <c r="F103" s="431"/>
      <c r="G103" s="431"/>
      <c r="H103" s="431"/>
      <c r="I103" s="435"/>
      <c r="J103" s="436">
        <f>netempincome-empbonus</f>
        <v>231941937</v>
      </c>
      <c r="K103" s="436"/>
      <c r="L103" s="436"/>
      <c r="M103" s="436"/>
      <c r="N103" s="431"/>
      <c r="O103" s="431"/>
      <c r="P103" s="431"/>
      <c r="Q103" s="431"/>
      <c r="R103" s="431"/>
      <c r="S103" s="431"/>
      <c r="T103" s="431"/>
      <c r="U103" s="431"/>
      <c r="V103" s="431"/>
      <c r="W103" s="431"/>
      <c r="X103" s="431"/>
      <c r="Y103" s="431"/>
      <c r="Z103" s="431"/>
      <c r="AA103" s="431"/>
      <c r="AB103" s="431"/>
      <c r="AC103" s="431"/>
      <c r="AD103" s="431"/>
      <c r="AE103" s="431"/>
    </row>
    <row r="104" spans="1:31">
      <c r="A104" s="431"/>
      <c r="B104" s="434" t="s">
        <v>320</v>
      </c>
      <c r="C104" s="431"/>
      <c r="D104" s="431"/>
      <c r="E104" s="431"/>
      <c r="F104" s="431"/>
      <c r="G104" s="431"/>
      <c r="H104" s="431"/>
      <c r="I104" s="431"/>
      <c r="J104" s="2756">
        <f>empbonus</f>
        <v>0</v>
      </c>
      <c r="K104" s="2756"/>
      <c r="L104" s="2756"/>
      <c r="M104" s="2756"/>
      <c r="N104" s="431"/>
      <c r="O104" s="431"/>
      <c r="P104" s="431"/>
      <c r="Q104" s="431"/>
      <c r="R104" s="431"/>
      <c r="S104" s="431"/>
      <c r="T104" s="431"/>
      <c r="U104" s="431"/>
      <c r="V104" s="431"/>
      <c r="W104" s="431"/>
      <c r="X104" s="431"/>
      <c r="Y104" s="431"/>
      <c r="Z104" s="431"/>
      <c r="AA104" s="431"/>
      <c r="AB104" s="431"/>
      <c r="AC104" s="431"/>
      <c r="AD104" s="431"/>
      <c r="AE104" s="431"/>
    </row>
    <row r="105" spans="1:31">
      <c r="A105" s="431"/>
      <c r="B105" s="434" t="s">
        <v>321</v>
      </c>
      <c r="C105" s="431"/>
      <c r="D105" s="431"/>
      <c r="E105" s="431"/>
      <c r="F105" s="431"/>
      <c r="G105" s="431"/>
      <c r="H105" s="431"/>
      <c r="I105" s="431"/>
      <c r="J105" s="431"/>
      <c r="K105" s="431"/>
      <c r="L105" s="431"/>
      <c r="M105" s="431"/>
      <c r="N105" s="436">
        <f>J103+J104</f>
        <v>231941937</v>
      </c>
      <c r="O105" s="436"/>
      <c r="P105" s="436"/>
      <c r="Q105" s="436"/>
      <c r="R105" s="431"/>
      <c r="S105" s="431"/>
      <c r="T105" s="431"/>
      <c r="U105" s="431"/>
      <c r="V105" s="431"/>
      <c r="W105" s="431"/>
      <c r="X105" s="431"/>
      <c r="Y105" s="431"/>
      <c r="Z105" s="431"/>
      <c r="AA105" s="431"/>
      <c r="AB105" s="431"/>
      <c r="AC105" s="431"/>
      <c r="AD105" s="431"/>
      <c r="AE105" s="431"/>
    </row>
    <row r="106" spans="1:31">
      <c r="A106" s="431"/>
      <c r="B106" s="431" t="s">
        <v>322</v>
      </c>
      <c r="C106" s="431"/>
      <c r="D106" s="431"/>
      <c r="E106" s="431"/>
      <c r="F106" s="431"/>
      <c r="G106" s="431"/>
      <c r="H106" s="431"/>
      <c r="I106" s="431"/>
      <c r="J106" s="431"/>
      <c r="K106" s="431"/>
      <c r="L106" s="431"/>
      <c r="M106" s="431"/>
      <c r="N106" s="436">
        <f>netdomesticincome</f>
        <v>0</v>
      </c>
      <c r="O106" s="436"/>
      <c r="P106" s="436"/>
      <c r="Q106" s="436"/>
      <c r="R106" s="431"/>
      <c r="S106" s="431"/>
      <c r="T106" s="431"/>
      <c r="U106" s="431"/>
      <c r="V106" s="431"/>
      <c r="W106" s="431"/>
      <c r="X106" s="431"/>
      <c r="Y106" s="431"/>
      <c r="Z106" s="431"/>
      <c r="AA106" s="431"/>
      <c r="AB106" s="431"/>
      <c r="AC106" s="431"/>
      <c r="AD106" s="431"/>
      <c r="AE106" s="431"/>
    </row>
    <row r="107" spans="1:31">
      <c r="A107" s="431"/>
      <c r="B107" s="431" t="s">
        <v>323</v>
      </c>
      <c r="C107" s="431"/>
      <c r="D107" s="431"/>
      <c r="E107" s="431"/>
      <c r="F107" s="431"/>
      <c r="G107" s="431"/>
      <c r="H107" s="431"/>
      <c r="I107" s="431"/>
      <c r="J107" s="431"/>
      <c r="K107" s="431"/>
      <c r="L107" s="431"/>
      <c r="M107" s="431"/>
      <c r="N107" s="2756">
        <f>IF(totaloverseasincome&lt;0,0,totaloverseasincome)</f>
        <v>290395578</v>
      </c>
      <c r="O107" s="2756"/>
      <c r="P107" s="2756"/>
      <c r="Q107" s="2756"/>
      <c r="R107" s="431"/>
      <c r="S107" s="431"/>
      <c r="T107" s="431"/>
      <c r="U107" s="431"/>
      <c r="V107" s="431"/>
      <c r="W107" s="431"/>
      <c r="X107" s="431"/>
      <c r="Y107" s="431"/>
      <c r="Z107" s="431"/>
      <c r="AA107" s="431"/>
      <c r="AB107" s="431"/>
      <c r="AC107" s="431"/>
      <c r="AD107" s="431"/>
      <c r="AE107" s="431"/>
    </row>
    <row r="108" spans="1:31">
      <c r="A108" s="431"/>
      <c r="B108" s="431" t="s">
        <v>324</v>
      </c>
      <c r="C108" s="431"/>
      <c r="D108" s="431"/>
      <c r="E108" s="431"/>
      <c r="F108" s="431"/>
      <c r="G108" s="431"/>
      <c r="H108" s="431"/>
      <c r="I108" s="431"/>
      <c r="J108" s="431"/>
      <c r="K108" s="431"/>
      <c r="L108" s="431"/>
      <c r="M108" s="431"/>
      <c r="N108" s="431"/>
      <c r="O108" s="431"/>
      <c r="P108" s="431"/>
      <c r="Q108" s="431"/>
      <c r="R108" s="2756">
        <f>SUM(M105:Q107)</f>
        <v>522337515</v>
      </c>
      <c r="S108" s="2756"/>
      <c r="T108" s="2756"/>
      <c r="U108" s="2756"/>
      <c r="V108" s="435"/>
      <c r="W108" s="431"/>
      <c r="X108" s="431"/>
      <c r="Y108" s="431"/>
      <c r="Z108" s="431"/>
      <c r="AA108" s="431"/>
      <c r="AB108" s="431"/>
      <c r="AC108" s="431"/>
      <c r="AD108" s="431"/>
      <c r="AE108" s="431"/>
    </row>
    <row r="109" spans="1:31">
      <c r="A109" s="431"/>
      <c r="B109" s="431"/>
      <c r="C109" s="431"/>
      <c r="D109" s="431"/>
      <c r="E109" s="431"/>
      <c r="F109" s="431"/>
      <c r="G109" s="431"/>
      <c r="H109" s="431"/>
      <c r="I109" s="431"/>
      <c r="J109" s="431"/>
      <c r="K109" s="431"/>
      <c r="L109" s="431"/>
      <c r="M109" s="431"/>
      <c r="N109" s="431"/>
      <c r="O109" s="431"/>
      <c r="P109" s="431"/>
      <c r="Q109" s="431"/>
      <c r="R109" s="431"/>
      <c r="S109" s="431"/>
      <c r="T109" s="431"/>
      <c r="U109" s="431"/>
      <c r="V109" s="431"/>
      <c r="W109" s="431"/>
      <c r="X109" s="431"/>
      <c r="Y109" s="431"/>
      <c r="Z109" s="431"/>
      <c r="AA109" s="431"/>
      <c r="AB109" s="431"/>
      <c r="AC109" s="431"/>
      <c r="AD109" s="431"/>
      <c r="AE109" s="431"/>
    </row>
    <row r="110" spans="1:31">
      <c r="A110" s="433" t="s">
        <v>325</v>
      </c>
      <c r="B110" s="431"/>
      <c r="C110" s="431"/>
      <c r="D110" s="431"/>
      <c r="E110" s="431"/>
      <c r="F110" s="431"/>
      <c r="G110" s="431"/>
      <c r="H110" s="431"/>
      <c r="I110" s="431"/>
      <c r="J110" s="431"/>
      <c r="K110" s="431"/>
      <c r="L110" s="431"/>
      <c r="M110" s="431"/>
      <c r="N110" s="431"/>
      <c r="O110" s="431"/>
      <c r="P110" s="431"/>
      <c r="Q110" s="431"/>
      <c r="R110" s="431"/>
      <c r="S110" s="431"/>
      <c r="T110" s="431"/>
      <c r="U110" s="431"/>
      <c r="V110" s="431"/>
      <c r="W110" s="431"/>
      <c r="X110" s="433" t="s">
        <v>326</v>
      </c>
      <c r="Y110" s="431"/>
      <c r="Z110" s="431"/>
      <c r="AA110" s="431"/>
      <c r="AB110" s="431"/>
      <c r="AC110" s="431"/>
      <c r="AD110" s="431"/>
      <c r="AE110" s="431"/>
    </row>
    <row r="111" spans="1:37">
      <c r="A111" s="431"/>
      <c r="B111" s="431" t="s">
        <v>319</v>
      </c>
      <c r="C111" s="431"/>
      <c r="D111" s="431"/>
      <c r="E111" s="431"/>
      <c r="F111" s="431"/>
      <c r="G111" s="431"/>
      <c r="H111" s="431"/>
      <c r="I111" s="431"/>
      <c r="J111" s="436">
        <f>J103/WORKPERIOD*12</f>
        <v>463883874</v>
      </c>
      <c r="K111" s="436"/>
      <c r="L111" s="436"/>
      <c r="M111" s="436"/>
      <c r="N111" s="436"/>
      <c r="O111" s="431"/>
      <c r="P111" s="431"/>
      <c r="Q111" s="431"/>
      <c r="R111" s="431"/>
      <c r="S111" s="431"/>
      <c r="T111" s="431"/>
      <c r="U111" s="431"/>
      <c r="V111" s="431"/>
      <c r="W111" s="431"/>
      <c r="X111" s="431"/>
      <c r="Y111" s="431" t="s">
        <v>327</v>
      </c>
      <c r="Z111" s="431"/>
      <c r="AA111" s="431"/>
      <c r="AB111" s="431"/>
      <c r="AC111" s="431"/>
      <c r="AD111" s="431"/>
      <c r="AE111" s="431"/>
      <c r="AF111" s="2751">
        <f>IF(J111&lt;0,0,J111-personalreliefs)</f>
        <v>409883874</v>
      </c>
      <c r="AG111" s="2751"/>
      <c r="AH111" s="2751"/>
      <c r="AI111" s="2751"/>
      <c r="AK111" s="427" t="e">
        <f>IF(AND(AF111&lt;=0),"A",IF(AND(AF111&lt;=50000000),"B",IF(AND(AF111&gt;50000000,AF111&lt;=250000000),"C",IF(AND(AF111&gt;250000000,AF111&lt;=500000000),"D","E"))))</f>
        <v>#DIV/0!</v>
      </c>
    </row>
    <row r="112" spans="1:35">
      <c r="A112" s="431"/>
      <c r="B112" s="431" t="s">
        <v>320</v>
      </c>
      <c r="C112" s="431"/>
      <c r="D112" s="431"/>
      <c r="E112" s="431"/>
      <c r="F112" s="431"/>
      <c r="G112" s="431"/>
      <c r="H112" s="431"/>
      <c r="I112" s="431"/>
      <c r="J112" s="2756">
        <f>J104/WORKPERIOD*12</f>
        <v>0</v>
      </c>
      <c r="K112" s="2756"/>
      <c r="L112" s="2756"/>
      <c r="M112" s="2756"/>
      <c r="N112" s="436"/>
      <c r="O112" s="431"/>
      <c r="P112" s="431"/>
      <c r="Q112" s="431"/>
      <c r="R112" s="431"/>
      <c r="S112" s="431"/>
      <c r="T112" s="431"/>
      <c r="U112" s="431"/>
      <c r="V112" s="431"/>
      <c r="W112" s="431"/>
      <c r="X112" s="431"/>
      <c r="Y112" s="431" t="s">
        <v>328</v>
      </c>
      <c r="Z112" s="431"/>
      <c r="AA112" s="431"/>
      <c r="AB112" s="431"/>
      <c r="AC112" s="431"/>
      <c r="AD112" s="431"/>
      <c r="AE112" s="431"/>
      <c r="AF112" s="2760">
        <f>J112</f>
        <v>0</v>
      </c>
      <c r="AG112" s="2760"/>
      <c r="AH112" s="2760"/>
      <c r="AI112" s="2760"/>
    </row>
    <row r="113" spans="1:37">
      <c r="A113" s="431"/>
      <c r="B113" s="434" t="s">
        <v>321</v>
      </c>
      <c r="C113" s="431"/>
      <c r="D113" s="431"/>
      <c r="E113" s="431"/>
      <c r="F113" s="431"/>
      <c r="G113" s="431"/>
      <c r="H113" s="431"/>
      <c r="I113" s="431"/>
      <c r="J113" s="431"/>
      <c r="K113" s="431"/>
      <c r="L113" s="431"/>
      <c r="M113" s="437"/>
      <c r="N113" s="436">
        <f>J111+J112</f>
        <v>463883874</v>
      </c>
      <c r="O113" s="436"/>
      <c r="P113" s="436"/>
      <c r="Q113" s="436"/>
      <c r="R113" s="431"/>
      <c r="S113" s="431"/>
      <c r="T113" s="431"/>
      <c r="U113" s="431"/>
      <c r="V113" s="431"/>
      <c r="W113" s="431"/>
      <c r="X113" s="431"/>
      <c r="Y113" s="431" t="s">
        <v>329</v>
      </c>
      <c r="Z113" s="431"/>
      <c r="AA113" s="431"/>
      <c r="AB113" s="431"/>
      <c r="AC113" s="431"/>
      <c r="AD113" s="431"/>
      <c r="AE113" s="431"/>
      <c r="AF113" s="2751">
        <f>IF(N113&lt;0,0,N113-personalreliefs)</f>
        <v>409883874</v>
      </c>
      <c r="AG113" s="2751"/>
      <c r="AH113" s="2751"/>
      <c r="AI113" s="2751"/>
      <c r="AK113" s="427" t="e">
        <f>IF(AND(AF113&lt;=0),"A",IF(AND(AF113&lt;=50000000),"B",IF(AND(AF113&gt;50000000,AF113&lt;=250000000),"C",IF(AND(AF113&gt;250000000,AF113&lt;=500000000),"D","E"))))</f>
        <v>#DIV/0!</v>
      </c>
    </row>
    <row r="114" spans="1:31">
      <c r="A114" s="431"/>
      <c r="B114" s="431" t="s">
        <v>322</v>
      </c>
      <c r="C114" s="431"/>
      <c r="D114" s="431"/>
      <c r="E114" s="431"/>
      <c r="F114" s="431"/>
      <c r="G114" s="431"/>
      <c r="H114" s="431"/>
      <c r="I114" s="431"/>
      <c r="J114" s="431"/>
      <c r="K114" s="431"/>
      <c r="L114" s="431"/>
      <c r="M114" s="431"/>
      <c r="N114" s="436">
        <f>N106/WORKPERIOD*12</f>
        <v>0</v>
      </c>
      <c r="O114" s="436"/>
      <c r="P114" s="436"/>
      <c r="Q114" s="436"/>
      <c r="R114" s="431"/>
      <c r="S114" s="431"/>
      <c r="T114" s="431"/>
      <c r="U114" s="431"/>
      <c r="V114" s="431"/>
      <c r="W114" s="431"/>
      <c r="X114" s="431"/>
      <c r="Y114" s="431"/>
      <c r="Z114" s="431"/>
      <c r="AA114" s="431"/>
      <c r="AB114" s="431"/>
      <c r="AC114" s="431"/>
      <c r="AD114" s="431"/>
      <c r="AE114" s="431"/>
    </row>
    <row r="115" spans="1:31">
      <c r="A115" s="431"/>
      <c r="B115" s="431" t="s">
        <v>323</v>
      </c>
      <c r="C115" s="431"/>
      <c r="D115" s="431"/>
      <c r="E115" s="431"/>
      <c r="F115" s="431"/>
      <c r="G115" s="431"/>
      <c r="H115" s="431"/>
      <c r="I115" s="431"/>
      <c r="J115" s="431"/>
      <c r="K115" s="431"/>
      <c r="L115" s="431"/>
      <c r="M115" s="431"/>
      <c r="N115" s="2756">
        <f>N107/WORKPERIOD*12</f>
        <v>580791156</v>
      </c>
      <c r="O115" s="2756"/>
      <c r="P115" s="2756"/>
      <c r="Q115" s="2756"/>
      <c r="R115" s="431"/>
      <c r="S115" s="431"/>
      <c r="T115" s="431"/>
      <c r="U115" s="431"/>
      <c r="V115" s="431"/>
      <c r="W115" s="431"/>
      <c r="X115" s="431"/>
      <c r="Y115" s="431"/>
      <c r="Z115" s="431"/>
      <c r="AA115" s="431"/>
      <c r="AB115" s="431"/>
      <c r="AC115" s="431"/>
      <c r="AD115" s="431"/>
      <c r="AE115" s="431"/>
    </row>
    <row r="116" spans="1:31">
      <c r="A116" s="431"/>
      <c r="B116" s="431" t="s">
        <v>330</v>
      </c>
      <c r="C116" s="431"/>
      <c r="D116" s="431"/>
      <c r="E116" s="431"/>
      <c r="F116" s="431"/>
      <c r="G116" s="431"/>
      <c r="H116" s="431"/>
      <c r="I116" s="431"/>
      <c r="J116" s="431"/>
      <c r="K116" s="431"/>
      <c r="L116" s="431"/>
      <c r="M116" s="436"/>
      <c r="N116" s="436"/>
      <c r="O116" s="436"/>
      <c r="P116" s="436"/>
      <c r="Q116" s="436"/>
      <c r="R116" s="2768">
        <f>SUM(M111:Q115)</f>
        <v>1044675030</v>
      </c>
      <c r="S116" s="437"/>
      <c r="T116" s="437"/>
      <c r="U116" s="437"/>
      <c r="V116" s="431"/>
      <c r="W116" s="431"/>
      <c r="X116" s="431"/>
      <c r="Y116" s="431"/>
      <c r="Z116" s="431"/>
      <c r="AA116" s="431"/>
      <c r="AB116" s="431"/>
      <c r="AC116" s="431"/>
      <c r="AD116" s="431"/>
      <c r="AE116" s="431"/>
    </row>
    <row r="117" spans="1:31">
      <c r="A117" s="431"/>
      <c r="B117" s="431"/>
      <c r="C117" s="431"/>
      <c r="D117" s="431"/>
      <c r="E117" s="431"/>
      <c r="F117" s="431"/>
      <c r="G117" s="431"/>
      <c r="H117" s="431"/>
      <c r="I117" s="431"/>
      <c r="J117" s="431"/>
      <c r="K117" s="431"/>
      <c r="L117" s="431"/>
      <c r="M117" s="431"/>
      <c r="N117" s="431"/>
      <c r="O117" s="431"/>
      <c r="P117" s="431"/>
      <c r="Q117" s="431"/>
      <c r="R117" s="431"/>
      <c r="S117" s="431"/>
      <c r="T117" s="431"/>
      <c r="U117" s="431"/>
      <c r="V117" s="431"/>
      <c r="W117" s="431"/>
      <c r="X117" s="431"/>
      <c r="Y117" s="431"/>
      <c r="Z117" s="431"/>
      <c r="AA117" s="431"/>
      <c r="AB117" s="431"/>
      <c r="AC117" s="431"/>
      <c r="AD117" s="431"/>
      <c r="AE117" s="431"/>
    </row>
    <row r="118" spans="1:31">
      <c r="A118" s="433" t="s">
        <v>222</v>
      </c>
      <c r="B118" s="431"/>
      <c r="C118" s="431"/>
      <c r="D118" s="431"/>
      <c r="E118" s="431"/>
      <c r="F118" s="431"/>
      <c r="G118" s="431"/>
      <c r="H118" s="431"/>
      <c r="I118" s="431"/>
      <c r="J118" s="431"/>
      <c r="K118" s="431"/>
      <c r="L118" s="431"/>
      <c r="M118" s="431"/>
      <c r="N118" s="431"/>
      <c r="O118" s="431"/>
      <c r="P118" s="431"/>
      <c r="Q118" s="431"/>
      <c r="R118" s="2757">
        <f>IF(OR('GENERAL INFO'!K5="X",'GENERAL INFO'!K10=""),personalreliefs,0)</f>
        <v>54000000</v>
      </c>
      <c r="S118" s="2758"/>
      <c r="T118" s="2758"/>
      <c r="U118" s="2758"/>
      <c r="V118" s="431"/>
      <c r="W118" s="431"/>
      <c r="X118" s="431"/>
      <c r="Y118" s="431"/>
      <c r="Z118" s="431"/>
      <c r="AA118" s="431"/>
      <c r="AB118" s="431"/>
      <c r="AC118" s="431"/>
      <c r="AD118" s="431"/>
      <c r="AE118" s="431"/>
    </row>
    <row r="119" spans="1:31">
      <c r="A119" s="433"/>
      <c r="B119" s="431"/>
      <c r="C119" s="431"/>
      <c r="D119" s="431"/>
      <c r="E119" s="431"/>
      <c r="F119" s="431"/>
      <c r="G119" s="431"/>
      <c r="H119" s="431"/>
      <c r="I119" s="431"/>
      <c r="J119" s="431"/>
      <c r="K119" s="431"/>
      <c r="L119" s="431"/>
      <c r="M119" s="431"/>
      <c r="N119" s="431"/>
      <c r="O119" s="431"/>
      <c r="P119" s="431"/>
      <c r="Q119" s="431"/>
      <c r="R119" s="431"/>
      <c r="S119" s="431"/>
      <c r="T119" s="431"/>
      <c r="U119" s="431"/>
      <c r="V119" s="431"/>
      <c r="W119" s="431"/>
      <c r="X119" s="431"/>
      <c r="Y119" s="431"/>
      <c r="Z119" s="431"/>
      <c r="AA119" s="431"/>
      <c r="AB119" s="431"/>
      <c r="AC119" s="431"/>
      <c r="AD119" s="431"/>
      <c r="AE119" s="431"/>
    </row>
    <row r="120" spans="1:31">
      <c r="A120" s="433" t="s">
        <v>331</v>
      </c>
      <c r="B120" s="431"/>
      <c r="C120" s="431"/>
      <c r="D120" s="431"/>
      <c r="E120" s="431"/>
      <c r="F120" s="431"/>
      <c r="G120" s="431"/>
      <c r="H120" s="431"/>
      <c r="I120" s="431"/>
      <c r="J120" s="431"/>
      <c r="K120" s="431"/>
      <c r="L120" s="431"/>
      <c r="M120" s="431"/>
      <c r="N120" s="431"/>
      <c r="O120" s="431"/>
      <c r="P120" s="431"/>
      <c r="Q120" s="431"/>
      <c r="R120" s="2757">
        <f>IF(AND('GENERAL INFO'!K6="X"),IF(AF126&lt;0,0,AF126),0)</f>
        <v>990675030</v>
      </c>
      <c r="S120" s="2758"/>
      <c r="T120" s="2758"/>
      <c r="U120" s="2758"/>
      <c r="V120" s="431"/>
      <c r="W120" s="431"/>
      <c r="X120" s="433" t="s">
        <v>326</v>
      </c>
      <c r="Y120" s="431"/>
      <c r="Z120" s="431"/>
      <c r="AA120" s="431"/>
      <c r="AB120" s="431"/>
      <c r="AC120" s="431"/>
      <c r="AD120" s="431"/>
      <c r="AE120" s="431"/>
    </row>
    <row r="121" spans="1:37">
      <c r="A121" s="433"/>
      <c r="B121" s="431"/>
      <c r="C121" s="431"/>
      <c r="D121" s="431"/>
      <c r="E121" s="431"/>
      <c r="F121" s="431"/>
      <c r="G121" s="431"/>
      <c r="H121" s="431"/>
      <c r="I121" s="431"/>
      <c r="J121" s="431"/>
      <c r="K121" s="431"/>
      <c r="L121" s="431"/>
      <c r="M121" s="431"/>
      <c r="N121" s="431"/>
      <c r="O121" s="431"/>
      <c r="P121" s="431"/>
      <c r="Q121" s="431"/>
      <c r="R121" s="431"/>
      <c r="S121" s="431"/>
      <c r="T121" s="431"/>
      <c r="U121" s="431"/>
      <c r="V121" s="431"/>
      <c r="W121" s="431"/>
      <c r="X121" s="431"/>
      <c r="Y121" s="431" t="s">
        <v>327</v>
      </c>
      <c r="Z121" s="431"/>
      <c r="AA121" s="431"/>
      <c r="AB121" s="431"/>
      <c r="AC121" s="431"/>
      <c r="AD121" s="431"/>
      <c r="AE121" s="431"/>
      <c r="AF121" s="2751">
        <f>(J111-personalreliefs)</f>
        <v>409883874</v>
      </c>
      <c r="AG121" s="2751"/>
      <c r="AH121" s="2751"/>
      <c r="AI121" s="2751"/>
      <c r="AK121" s="427" t="e">
        <f>IF(AND(AF121&lt;=0),"A",IF(AND(AF121&lt;=50000000),"B",IF(AND(AF121&gt;50000000,AF121&lt;=250000000),"C",IF(AND(AF121&gt;250000000,AF121&lt;=500000000),"D","E"))))</f>
        <v>#DIV/0!</v>
      </c>
    </row>
    <row r="122" spans="1:35">
      <c r="A122" s="433" t="s">
        <v>332</v>
      </c>
      <c r="B122" s="431"/>
      <c r="C122" s="431"/>
      <c r="D122" s="431"/>
      <c r="E122" s="431"/>
      <c r="F122" s="431"/>
      <c r="G122" s="431"/>
      <c r="H122" s="431"/>
      <c r="I122" s="431"/>
      <c r="J122" s="431"/>
      <c r="K122" s="431"/>
      <c r="L122" s="431"/>
      <c r="M122" s="431"/>
      <c r="N122" s="431"/>
      <c r="O122" s="431"/>
      <c r="P122" s="431"/>
      <c r="Q122" s="431"/>
      <c r="R122" s="431"/>
      <c r="S122" s="431"/>
      <c r="T122" s="431"/>
      <c r="U122" s="431"/>
      <c r="V122" s="431"/>
      <c r="W122" s="431"/>
      <c r="X122" s="431"/>
      <c r="Y122" s="431" t="s">
        <v>328</v>
      </c>
      <c r="Z122" s="431"/>
      <c r="AA122" s="431"/>
      <c r="AB122" s="431"/>
      <c r="AC122" s="431"/>
      <c r="AD122" s="431"/>
      <c r="AE122" s="431"/>
      <c r="AF122" s="2760">
        <f>J112</f>
        <v>0</v>
      </c>
      <c r="AG122" s="2760"/>
      <c r="AH122" s="2760"/>
      <c r="AI122" s="2760"/>
    </row>
    <row r="123" spans="1:37">
      <c r="A123" s="433"/>
      <c r="B123" s="431" t="s">
        <v>327</v>
      </c>
      <c r="C123" s="431"/>
      <c r="D123" s="431"/>
      <c r="E123" s="431"/>
      <c r="F123" s="431"/>
      <c r="G123" s="431"/>
      <c r="H123" s="431"/>
      <c r="I123" s="431"/>
      <c r="J123" s="2759">
        <f>IF('GENERAL INFO'!$K$6="X",IF(AK111="A",0,IF(AK111="B",0.05*AF111,IF(AK111="C",0.15*AF111-5000000,IF(AK111="D",0.25*AF111-30000000,IF(AK111="E",0.3*AF111-55000000))))),0)</f>
        <v>47470969</v>
      </c>
      <c r="K123" s="2759"/>
      <c r="L123" s="2759"/>
      <c r="M123" s="2759"/>
      <c r="N123" s="431"/>
      <c r="O123" s="431"/>
      <c r="P123" s="431"/>
      <c r="Q123" s="431"/>
      <c r="R123" s="431"/>
      <c r="S123" s="431"/>
      <c r="T123" s="431"/>
      <c r="U123" s="431"/>
      <c r="V123" s="431"/>
      <c r="W123" s="431"/>
      <c r="X123" s="431"/>
      <c r="Y123" s="431" t="s">
        <v>329</v>
      </c>
      <c r="Z123" s="431"/>
      <c r="AA123" s="431"/>
      <c r="AB123" s="431"/>
      <c r="AC123" s="431"/>
      <c r="AD123" s="431"/>
      <c r="AE123" s="431"/>
      <c r="AF123" s="2751">
        <f>N113-personalreliefs</f>
        <v>409883874</v>
      </c>
      <c r="AG123" s="2751"/>
      <c r="AH123" s="2751"/>
      <c r="AI123" s="2751"/>
      <c r="AK123" s="427" t="e">
        <f>IF(AND(AF123&lt;=0),"A",IF(AND(AF123&lt;=50000000),"B",IF(AND(AF123&gt;50000000,AF123&lt;=250000000),"C",IF(AND(AF123&gt;250000000,AF123&lt;=500000000),"D","E"))))</f>
        <v>#DIV/0!</v>
      </c>
    </row>
    <row r="124" spans="1:35">
      <c r="A124" s="433"/>
      <c r="B124" s="431" t="s">
        <v>328</v>
      </c>
      <c r="C124" s="431"/>
      <c r="D124" s="431"/>
      <c r="E124" s="431"/>
      <c r="F124" s="431"/>
      <c r="G124" s="431"/>
      <c r="H124" s="431"/>
      <c r="I124" s="431"/>
      <c r="J124" s="2754">
        <f>N125-J123</f>
        <v>0</v>
      </c>
      <c r="K124" s="2754"/>
      <c r="L124" s="2754"/>
      <c r="M124" s="2754"/>
      <c r="N124" s="431"/>
      <c r="O124" s="431"/>
      <c r="P124" s="431"/>
      <c r="Q124" s="431"/>
      <c r="R124" s="431"/>
      <c r="S124" s="431"/>
      <c r="T124" s="431"/>
      <c r="U124" s="431"/>
      <c r="V124" s="431"/>
      <c r="W124" s="431"/>
      <c r="X124" s="431"/>
      <c r="Y124" s="431" t="s">
        <v>322</v>
      </c>
      <c r="Z124" s="431"/>
      <c r="AA124" s="431"/>
      <c r="AB124" s="431"/>
      <c r="AC124" s="431"/>
      <c r="AD124" s="431"/>
      <c r="AE124" s="431"/>
      <c r="AF124" s="2751">
        <f>N114</f>
        <v>0</v>
      </c>
      <c r="AG124" s="2751"/>
      <c r="AH124" s="2751"/>
      <c r="AI124" s="2751"/>
    </row>
    <row r="125" spans="1:35">
      <c r="A125" s="431"/>
      <c r="B125" s="431" t="s">
        <v>333</v>
      </c>
      <c r="C125" s="431"/>
      <c r="D125" s="431"/>
      <c r="E125" s="431"/>
      <c r="F125" s="431"/>
      <c r="G125" s="431"/>
      <c r="H125" s="431"/>
      <c r="I125" s="431"/>
      <c r="J125" s="431"/>
      <c r="K125" s="431"/>
      <c r="L125" s="431"/>
      <c r="M125" s="431"/>
      <c r="N125" s="2759">
        <f>IF('GENERAL INFO'!$K$6="X",IF(AK113="A",0,IF(AK113="B",0.05*AF113,IF(AK113="C",0.15*AF113-5000000,IF(AK113="D",0.25*AF113-30000000,IF(AK113="E",0.3*AF113-55000000))))),0)</f>
        <v>47470969</v>
      </c>
      <c r="O125" s="2759"/>
      <c r="P125" s="2759"/>
      <c r="Q125" s="2759"/>
      <c r="R125" s="431"/>
      <c r="S125" s="431"/>
      <c r="T125" s="431"/>
      <c r="U125" s="431"/>
      <c r="V125" s="431"/>
      <c r="W125" s="431"/>
      <c r="X125" s="431"/>
      <c r="Y125" s="431" t="s">
        <v>323</v>
      </c>
      <c r="Z125" s="431"/>
      <c r="AA125" s="431"/>
      <c r="AB125" s="431"/>
      <c r="AC125" s="431"/>
      <c r="AD125" s="431"/>
      <c r="AE125" s="431"/>
      <c r="AF125" s="2760">
        <f>N115</f>
        <v>580791156</v>
      </c>
      <c r="AG125" s="2760"/>
      <c r="AH125" s="2760"/>
      <c r="AI125" s="2760"/>
    </row>
    <row r="126" spans="1:37">
      <c r="A126" s="433"/>
      <c r="B126" s="431" t="s">
        <v>334</v>
      </c>
      <c r="C126" s="431"/>
      <c r="D126" s="431"/>
      <c r="E126" s="431"/>
      <c r="F126" s="431"/>
      <c r="G126" s="431"/>
      <c r="H126" s="431"/>
      <c r="I126" s="431"/>
      <c r="J126" s="431"/>
      <c r="K126" s="431"/>
      <c r="L126" s="431"/>
      <c r="M126" s="431"/>
      <c r="N126" s="2754">
        <f>IF(AF129-N125&lt;0,0,AF129-N125)</f>
        <v>194731541</v>
      </c>
      <c r="O126" s="2754"/>
      <c r="P126" s="2754"/>
      <c r="Q126" s="2754"/>
      <c r="R126" s="431"/>
      <c r="S126" s="431"/>
      <c r="T126" s="431"/>
      <c r="U126" s="431"/>
      <c r="V126" s="431"/>
      <c r="W126" s="431"/>
      <c r="X126" s="431"/>
      <c r="Y126" s="431" t="s">
        <v>347</v>
      </c>
      <c r="Z126" s="431"/>
      <c r="AA126" s="431"/>
      <c r="AB126" s="431"/>
      <c r="AC126" s="431"/>
      <c r="AD126" s="431"/>
      <c r="AE126" s="431"/>
      <c r="AF126" s="2751">
        <f>SUM(AF123:AI125)</f>
        <v>990675030</v>
      </c>
      <c r="AG126" s="2751"/>
      <c r="AH126" s="2751"/>
      <c r="AI126" s="2751"/>
      <c r="AK126" s="427" t="e">
        <f>IF(AND(AF126&lt;=0),"A",IF(AND(AF126&lt;=50000000),"B",IF(AND(AF126&gt;50000000,AF126&lt;=250000000),"C",IF(AND(AF126&gt;250000000,AF126&lt;=500000000),"D","E"))))</f>
        <v>#DIV/0!</v>
      </c>
    </row>
    <row r="127" spans="1:37">
      <c r="A127" s="433"/>
      <c r="B127" s="431" t="s">
        <v>335</v>
      </c>
      <c r="C127" s="431"/>
      <c r="D127" s="431"/>
      <c r="E127" s="431"/>
      <c r="F127" s="431"/>
      <c r="G127" s="431"/>
      <c r="H127" s="431"/>
      <c r="I127" s="431"/>
      <c r="J127" s="431"/>
      <c r="K127" s="431"/>
      <c r="L127" s="431"/>
      <c r="M127" s="431"/>
      <c r="N127" s="431"/>
      <c r="O127" s="431"/>
      <c r="P127" s="431"/>
      <c r="Q127" s="431"/>
      <c r="R127" s="2754">
        <f>IF(AF129&lt;N125,N125,AF129)</f>
        <v>242202509</v>
      </c>
      <c r="S127" s="2754"/>
      <c r="T127" s="2754"/>
      <c r="U127" s="2754"/>
      <c r="V127" s="431"/>
      <c r="W127" s="431"/>
      <c r="X127" s="431"/>
      <c r="Y127" s="431" t="s">
        <v>336</v>
      </c>
      <c r="Z127" s="431"/>
      <c r="AA127" s="431"/>
      <c r="AB127" s="431"/>
      <c r="AC127" s="431"/>
      <c r="AD127" s="431"/>
      <c r="AE127" s="431"/>
      <c r="AF127" s="2751">
        <f>INT(AF126/1000)*1000</f>
        <v>990675030</v>
      </c>
      <c r="AG127" s="2751"/>
      <c r="AH127" s="2751"/>
      <c r="AI127" s="2751"/>
      <c r="AK127" s="427" t="e">
        <f>IF(AND(AF127&lt;=0),"A",IF(AND(AF127&lt;=50000000),"B",IF(AND(AF127&gt;50000000,AF127&lt;=250000000),"C",IF(AND(AF127&gt;250000000,AF127&lt;=500000000),"D","E"))))</f>
        <v>#DIV/0!</v>
      </c>
    </row>
    <row r="128" spans="1:31">
      <c r="A128" s="433"/>
      <c r="B128" s="431"/>
      <c r="C128" s="431"/>
      <c r="D128" s="431"/>
      <c r="E128" s="431"/>
      <c r="F128" s="431"/>
      <c r="G128" s="431"/>
      <c r="H128" s="431"/>
      <c r="I128" s="431"/>
      <c r="J128" s="431"/>
      <c r="K128" s="431"/>
      <c r="L128" s="431"/>
      <c r="M128" s="431"/>
      <c r="N128" s="431"/>
      <c r="O128" s="431"/>
      <c r="P128" s="431"/>
      <c r="Q128" s="431"/>
      <c r="R128" s="431"/>
      <c r="S128" s="431"/>
      <c r="T128" s="431"/>
      <c r="U128" s="431"/>
      <c r="V128" s="431"/>
      <c r="W128" s="431"/>
      <c r="X128" s="431"/>
      <c r="Y128" s="431"/>
      <c r="Z128" s="431"/>
      <c r="AA128" s="431"/>
      <c r="AB128" s="431"/>
      <c r="AC128" s="431"/>
      <c r="AD128" s="431"/>
      <c r="AE128" s="431"/>
    </row>
    <row r="129" spans="1:35">
      <c r="A129" s="433" t="s">
        <v>337</v>
      </c>
      <c r="B129" s="431"/>
      <c r="C129" s="431"/>
      <c r="D129" s="431"/>
      <c r="E129" s="431"/>
      <c r="F129" s="431"/>
      <c r="G129" s="431"/>
      <c r="H129" s="431"/>
      <c r="I129" s="431"/>
      <c r="J129" s="431"/>
      <c r="K129" s="431"/>
      <c r="L129" s="431"/>
      <c r="M129" s="431"/>
      <c r="N129" s="431"/>
      <c r="O129" s="431"/>
      <c r="P129" s="431"/>
      <c r="Q129" s="431"/>
      <c r="R129" s="431"/>
      <c r="S129" s="431"/>
      <c r="T129" s="431"/>
      <c r="U129" s="431"/>
      <c r="V129" s="431"/>
      <c r="W129" s="431"/>
      <c r="X129" s="433" t="s">
        <v>355</v>
      </c>
      <c r="Y129" s="431"/>
      <c r="Z129" s="431"/>
      <c r="AA129" s="431"/>
      <c r="AB129" s="431"/>
      <c r="AC129" s="431"/>
      <c r="AD129" s="431"/>
      <c r="AE129" s="431"/>
      <c r="AF129" s="2754" t="e">
        <f>IF($AK$127="A",0,IF($AK$127="B",0.05*$AF$127,IF($AK$127="C",0.15*$AF$127-5000000,IF($AK$127="D",0.25*$AF$127-30000000,IF($AK$127="E",0.3*$AF$127-55000000)))))</f>
        <v>#DIV/0!</v>
      </c>
      <c r="AG129" s="2754"/>
      <c r="AH129" s="2754"/>
      <c r="AI129" s="2754"/>
    </row>
    <row r="130" spans="1:31">
      <c r="A130" s="431"/>
      <c r="B130" s="431" t="s">
        <v>327</v>
      </c>
      <c r="C130" s="431"/>
      <c r="D130" s="431"/>
      <c r="E130" s="431"/>
      <c r="F130" s="431"/>
      <c r="G130" s="431"/>
      <c r="H130" s="431"/>
      <c r="I130" s="431"/>
      <c r="J130" s="2767">
        <f>J123/12*WORKPERIOD</f>
        <v>23735484</v>
      </c>
      <c r="K130" s="2767"/>
      <c r="L130" s="2767"/>
      <c r="M130" s="2767"/>
      <c r="N130" s="431"/>
      <c r="O130" s="431"/>
      <c r="P130" s="431"/>
      <c r="Q130" s="431"/>
      <c r="R130" s="431"/>
      <c r="S130" s="431"/>
      <c r="T130" s="431"/>
      <c r="U130" s="431"/>
      <c r="V130" s="431"/>
      <c r="W130" s="431"/>
      <c r="X130" s="431"/>
      <c r="Y130" s="431"/>
      <c r="Z130" s="431"/>
      <c r="AA130" s="431"/>
      <c r="AB130" s="431"/>
      <c r="AC130" s="431"/>
      <c r="AD130" s="431"/>
      <c r="AE130" s="431"/>
    </row>
    <row r="131" spans="1:31">
      <c r="A131" s="431"/>
      <c r="B131" s="431" t="s">
        <v>328</v>
      </c>
      <c r="C131" s="431"/>
      <c r="D131" s="431"/>
      <c r="E131" s="431"/>
      <c r="F131" s="431"/>
      <c r="G131" s="431"/>
      <c r="H131" s="431"/>
      <c r="I131" s="431"/>
      <c r="J131" s="2766">
        <f>J124/12*WORKPERIOD</f>
        <v>0</v>
      </c>
      <c r="K131" s="2766"/>
      <c r="L131" s="2766"/>
      <c r="M131" s="2766"/>
      <c r="N131" s="431"/>
      <c r="O131" s="431"/>
      <c r="P131" s="431"/>
      <c r="Q131" s="431"/>
      <c r="R131" s="431"/>
      <c r="S131" s="431"/>
      <c r="T131" s="431"/>
      <c r="U131" s="431"/>
      <c r="V131" s="431"/>
      <c r="W131" s="431"/>
      <c r="X131" s="431"/>
      <c r="Y131" s="431"/>
      <c r="Z131" s="431"/>
      <c r="AA131" s="431"/>
      <c r="AB131" s="431"/>
      <c r="AC131" s="431"/>
      <c r="AD131" s="431"/>
      <c r="AE131" s="431"/>
    </row>
    <row r="132" spans="1:31">
      <c r="A132" s="431"/>
      <c r="B132" s="431" t="s">
        <v>333</v>
      </c>
      <c r="C132" s="431"/>
      <c r="D132" s="431"/>
      <c r="E132" s="431"/>
      <c r="F132" s="431"/>
      <c r="G132" s="431"/>
      <c r="H132" s="431"/>
      <c r="I132" s="431"/>
      <c r="J132" s="437"/>
      <c r="K132" s="437"/>
      <c r="L132" s="437"/>
      <c r="M132" s="437"/>
      <c r="N132" s="2759">
        <f>J130+J131</f>
        <v>23735484</v>
      </c>
      <c r="O132" s="2759"/>
      <c r="P132" s="2759"/>
      <c r="Q132" s="2759"/>
      <c r="R132" s="431"/>
      <c r="S132" s="431"/>
      <c r="T132" s="431"/>
      <c r="U132" s="431"/>
      <c r="V132" s="431"/>
      <c r="W132" s="431"/>
      <c r="X132" s="431"/>
      <c r="Y132" s="431"/>
      <c r="Z132" s="431"/>
      <c r="AA132" s="431"/>
      <c r="AB132" s="431"/>
      <c r="AC132" s="431"/>
      <c r="AD132" s="431"/>
      <c r="AE132" s="431"/>
    </row>
    <row r="133" spans="1:31">
      <c r="A133" s="431"/>
      <c r="B133" s="431" t="s">
        <v>334</v>
      </c>
      <c r="C133" s="431"/>
      <c r="D133" s="431"/>
      <c r="E133" s="431"/>
      <c r="F133" s="431"/>
      <c r="G133" s="431"/>
      <c r="H133" s="431"/>
      <c r="I133" s="431"/>
      <c r="J133" s="431"/>
      <c r="K133" s="431"/>
      <c r="L133" s="431"/>
      <c r="M133" s="431"/>
      <c r="N133" s="2764">
        <f>N126/12*WORKPERIOD</f>
        <v>97365770</v>
      </c>
      <c r="O133" s="2764"/>
      <c r="P133" s="2764"/>
      <c r="Q133" s="2764"/>
      <c r="R133" s="431"/>
      <c r="S133" s="431"/>
      <c r="T133" s="431"/>
      <c r="U133" s="431"/>
      <c r="V133" s="431"/>
      <c r="W133" s="431"/>
      <c r="X133" s="431"/>
      <c r="Y133" s="431"/>
      <c r="Z133" s="431"/>
      <c r="AA133" s="431"/>
      <c r="AB133" s="431"/>
      <c r="AC133" s="431"/>
      <c r="AD133" s="431"/>
      <c r="AE133" s="431"/>
    </row>
    <row r="134" spans="1:31" ht="13.5" customHeight="1" thickBot="1">
      <c r="A134" s="431"/>
      <c r="B134" s="433" t="s">
        <v>338</v>
      </c>
      <c r="C134" s="431"/>
      <c r="D134" s="431"/>
      <c r="E134" s="431"/>
      <c r="F134" s="431"/>
      <c r="G134" s="431"/>
      <c r="H134" s="431"/>
      <c r="I134" s="431"/>
      <c r="J134" s="431"/>
      <c r="K134" s="431"/>
      <c r="L134" s="431"/>
      <c r="M134" s="431"/>
      <c r="N134" s="431"/>
      <c r="O134" s="431"/>
      <c r="P134" s="431"/>
      <c r="Q134" s="431"/>
      <c r="R134" s="2762">
        <f>N133+N132</f>
        <v>121101255</v>
      </c>
      <c r="S134" s="2762"/>
      <c r="T134" s="2762"/>
      <c r="U134" s="2762"/>
      <c r="V134" s="431"/>
      <c r="W134" s="431"/>
      <c r="X134" s="431"/>
      <c r="Y134" s="431"/>
      <c r="Z134" s="431"/>
      <c r="AA134" s="431"/>
      <c r="AB134" s="431"/>
      <c r="AC134" s="431"/>
      <c r="AD134" s="431"/>
      <c r="AE134" s="431"/>
    </row>
    <row r="135" spans="1:31" ht="13.5" customHeight="1" thickTop="1">
      <c r="A135" s="431"/>
      <c r="B135" s="431"/>
      <c r="C135" s="431"/>
      <c r="D135" s="431"/>
      <c r="E135" s="431"/>
      <c r="F135" s="431"/>
      <c r="G135" s="431"/>
      <c r="H135" s="431"/>
      <c r="I135" s="431"/>
      <c r="J135" s="431"/>
      <c r="K135" s="431"/>
      <c r="L135" s="431"/>
      <c r="M135" s="431"/>
      <c r="N135" s="431"/>
      <c r="O135" s="431"/>
      <c r="P135" s="431"/>
      <c r="Q135" s="431"/>
      <c r="R135" s="431"/>
      <c r="S135" s="431"/>
      <c r="T135" s="431"/>
      <c r="U135" s="431"/>
      <c r="V135" s="431"/>
      <c r="W135" s="431"/>
      <c r="X135" s="431"/>
      <c r="Y135" s="431"/>
      <c r="Z135" s="431"/>
      <c r="AA135" s="431"/>
      <c r="AB135" s="431"/>
      <c r="AC135" s="431"/>
      <c r="AD135" s="431"/>
      <c r="AE135" s="431"/>
    </row>
    <row r="136" spans="1:31">
      <c r="A136" s="431"/>
      <c r="B136" s="431"/>
      <c r="C136" s="431"/>
      <c r="D136" s="431"/>
      <c r="E136" s="431"/>
      <c r="F136" s="431"/>
      <c r="G136" s="431"/>
      <c r="H136" s="431"/>
      <c r="I136" s="431"/>
      <c r="J136" s="431"/>
      <c r="K136" s="431"/>
      <c r="L136" s="431"/>
      <c r="M136" s="431"/>
      <c r="N136" s="431"/>
      <c r="O136" s="431"/>
      <c r="P136" s="431"/>
      <c r="Q136" s="431"/>
      <c r="R136" s="431"/>
      <c r="S136" s="431"/>
      <c r="T136" s="431"/>
      <c r="U136" s="431"/>
      <c r="V136" s="431"/>
      <c r="W136" s="431"/>
      <c r="X136" s="431"/>
      <c r="Y136" s="431"/>
      <c r="Z136" s="431"/>
      <c r="AA136" s="431"/>
      <c r="AB136" s="431"/>
      <c r="AC136" s="431"/>
      <c r="AD136" s="431"/>
      <c r="AE136" s="431"/>
    </row>
    <row r="137" spans="1:31">
      <c r="A137" s="434"/>
      <c r="B137" s="431"/>
      <c r="C137" s="431"/>
      <c r="D137" s="431"/>
      <c r="E137" s="431"/>
      <c r="F137" s="431"/>
      <c r="G137" s="431"/>
      <c r="H137" s="431"/>
      <c r="I137" s="431"/>
      <c r="J137" s="431"/>
      <c r="K137" s="431"/>
      <c r="L137" s="431"/>
      <c r="M137" s="431"/>
      <c r="N137" s="431"/>
      <c r="O137" s="431"/>
      <c r="P137" s="431"/>
      <c r="Q137" s="431"/>
      <c r="R137" s="431"/>
      <c r="S137" s="431"/>
      <c r="T137" s="431"/>
      <c r="U137" s="431"/>
      <c r="V137" s="431"/>
      <c r="W137" s="431"/>
      <c r="X137" s="431"/>
      <c r="Y137" s="431"/>
      <c r="Z137" s="431"/>
      <c r="AA137" s="431"/>
      <c r="AB137" s="431"/>
      <c r="AC137" s="431"/>
      <c r="AD137" s="431"/>
      <c r="AE137" s="431"/>
    </row>
    <row r="138" spans="1:31" ht="20.25" customHeight="1">
      <c r="A138" s="432" t="s">
        <v>371</v>
      </c>
      <c r="B138" s="431"/>
      <c r="C138" s="431"/>
      <c r="D138" s="431"/>
      <c r="E138" s="431"/>
      <c r="F138" s="431"/>
      <c r="G138" s="431"/>
      <c r="H138" s="431"/>
      <c r="I138" s="431"/>
      <c r="J138" s="431"/>
      <c r="K138" s="431"/>
      <c r="L138" s="431"/>
      <c r="M138" s="431"/>
      <c r="N138" s="431"/>
      <c r="O138" s="431"/>
      <c r="P138" s="431"/>
      <c r="Q138" s="431"/>
      <c r="R138" s="431"/>
      <c r="S138" s="431"/>
      <c r="T138" s="431"/>
      <c r="U138" s="431"/>
      <c r="V138" s="431"/>
      <c r="W138" s="431"/>
      <c r="X138" s="431"/>
      <c r="Y138" s="431"/>
      <c r="Z138" s="431"/>
      <c r="AA138" s="431"/>
      <c r="AB138" s="431"/>
      <c r="AC138" s="431"/>
      <c r="AD138" s="431"/>
      <c r="AE138" s="431"/>
    </row>
    <row r="139" spans="1:31">
      <c r="A139" s="431"/>
      <c r="B139" s="431"/>
      <c r="C139" s="431"/>
      <c r="D139" s="431"/>
      <c r="E139" s="431"/>
      <c r="F139" s="431"/>
      <c r="G139" s="431"/>
      <c r="H139" s="431"/>
      <c r="I139" s="431"/>
      <c r="J139" s="431"/>
      <c r="K139" s="431"/>
      <c r="L139" s="431"/>
      <c r="M139" s="431"/>
      <c r="N139" s="431"/>
      <c r="O139" s="431"/>
      <c r="P139" s="431"/>
      <c r="Q139" s="431"/>
      <c r="R139" s="431"/>
      <c r="S139" s="431"/>
      <c r="T139" s="431"/>
      <c r="U139" s="431"/>
      <c r="V139" s="431"/>
      <c r="W139" s="431"/>
      <c r="X139" s="431"/>
      <c r="Y139" s="431"/>
      <c r="Z139" s="431"/>
      <c r="AA139" s="431"/>
      <c r="AB139" s="431"/>
      <c r="AC139" s="431"/>
      <c r="AD139" s="431"/>
      <c r="AE139" s="431"/>
    </row>
    <row r="140" spans="1:31">
      <c r="A140" s="433" t="s">
        <v>339</v>
      </c>
      <c r="B140" s="431"/>
      <c r="C140" s="431"/>
      <c r="D140" s="431"/>
      <c r="E140" s="431"/>
      <c r="F140" s="431"/>
      <c r="G140" s="431"/>
      <c r="H140" s="431"/>
      <c r="I140" s="431"/>
      <c r="J140" s="431"/>
      <c r="K140" s="431"/>
      <c r="L140" s="431"/>
      <c r="M140" s="431"/>
      <c r="N140" s="431"/>
      <c r="O140" s="431"/>
      <c r="P140" s="431"/>
      <c r="Q140" s="431"/>
      <c r="R140" s="431"/>
      <c r="S140" s="431"/>
      <c r="T140" s="431"/>
      <c r="U140" s="431"/>
      <c r="V140" s="431"/>
      <c r="W140" s="431"/>
      <c r="X140" s="431"/>
      <c r="Y140" s="431"/>
      <c r="Z140" s="431"/>
      <c r="AA140" s="431"/>
      <c r="AB140" s="431"/>
      <c r="AC140" s="431"/>
      <c r="AD140" s="431"/>
      <c r="AE140" s="431"/>
    </row>
    <row r="141" spans="1:31">
      <c r="A141" s="433"/>
      <c r="B141" s="431"/>
      <c r="C141" s="431"/>
      <c r="D141" s="431"/>
      <c r="E141" s="431"/>
      <c r="F141" s="431"/>
      <c r="G141" s="431"/>
      <c r="H141" s="431"/>
      <c r="I141" s="431"/>
      <c r="J141" s="437"/>
      <c r="K141" s="437"/>
      <c r="L141" s="437"/>
      <c r="M141" s="437"/>
      <c r="N141" s="437"/>
      <c r="O141" s="437"/>
      <c r="P141" s="437"/>
      <c r="Q141" s="437"/>
      <c r="R141" s="437"/>
      <c r="S141" s="437"/>
      <c r="T141" s="437"/>
      <c r="U141" s="437"/>
      <c r="V141" s="437"/>
      <c r="W141" s="437"/>
      <c r="X141" s="437"/>
      <c r="Y141" s="437"/>
      <c r="Z141" s="437"/>
      <c r="AA141" s="437"/>
      <c r="AB141" s="437"/>
      <c r="AC141" s="431"/>
      <c r="AD141" s="431"/>
      <c r="AE141" s="431"/>
    </row>
    <row r="142" spans="1:31">
      <c r="A142" s="431"/>
      <c r="B142" s="431" t="s">
        <v>340</v>
      </c>
      <c r="C142" s="431"/>
      <c r="D142" s="431"/>
      <c r="E142" s="431"/>
      <c r="F142" s="431"/>
      <c r="G142" s="431"/>
      <c r="H142" s="431"/>
      <c r="I142" s="431"/>
      <c r="J142" s="436">
        <f>IF(OR(ISBLANK(dateofdeparture)=True,(dateofdeparture-taxyearend)&gt;0),J111,0)</f>
        <v>0</v>
      </c>
      <c r="K142" s="436"/>
      <c r="L142" s="436"/>
      <c r="M142" s="436"/>
      <c r="N142" s="431"/>
      <c r="O142" s="431"/>
      <c r="P142" s="431"/>
      <c r="Q142" s="431"/>
      <c r="R142" s="431"/>
      <c r="S142" s="431"/>
      <c r="T142" s="431"/>
      <c r="U142" s="431"/>
      <c r="V142" s="431"/>
      <c r="W142" s="431"/>
      <c r="X142" s="431"/>
      <c r="Y142" s="431"/>
      <c r="Z142" s="431"/>
      <c r="AA142" s="431"/>
      <c r="AB142" s="431"/>
      <c r="AC142" s="431"/>
      <c r="AD142" s="431"/>
      <c r="AE142" s="431"/>
    </row>
    <row r="143" spans="1:31">
      <c r="A143" s="431"/>
      <c r="B143" s="431" t="s">
        <v>320</v>
      </c>
      <c r="C143" s="431"/>
      <c r="D143" s="431"/>
      <c r="E143" s="431"/>
      <c r="F143" s="431"/>
      <c r="G143" s="431"/>
      <c r="H143" s="431"/>
      <c r="I143" s="431"/>
      <c r="J143" s="2756">
        <f>IF(OR(ISBLANK(dateofdeparture)=True,(dateofdeparture-taxyearend)&gt;0),J112,0)</f>
        <v>0</v>
      </c>
      <c r="K143" s="2756"/>
      <c r="L143" s="2756"/>
      <c r="M143" s="2756"/>
      <c r="N143" s="431"/>
      <c r="O143" s="431"/>
      <c r="P143" s="431"/>
      <c r="Q143" s="431"/>
      <c r="R143" s="431"/>
      <c r="S143" s="431"/>
      <c r="T143" s="431"/>
      <c r="U143" s="431"/>
      <c r="V143" s="431"/>
      <c r="W143" s="431"/>
      <c r="X143" s="431"/>
      <c r="Y143" s="431"/>
      <c r="Z143" s="431"/>
      <c r="AA143" s="431"/>
      <c r="AB143" s="431"/>
      <c r="AC143" s="431"/>
      <c r="AD143" s="431"/>
      <c r="AE143" s="431"/>
    </row>
    <row r="144" spans="1:31">
      <c r="A144" s="431"/>
      <c r="B144" s="434" t="s">
        <v>321</v>
      </c>
      <c r="C144" s="431"/>
      <c r="D144" s="431"/>
      <c r="E144" s="431"/>
      <c r="F144" s="431"/>
      <c r="G144" s="431"/>
      <c r="H144" s="431"/>
      <c r="I144" s="431"/>
      <c r="J144" s="436"/>
      <c r="K144" s="436"/>
      <c r="L144" s="436"/>
      <c r="M144" s="436"/>
      <c r="N144" s="436">
        <f>J142+J143</f>
        <v>0</v>
      </c>
      <c r="O144" s="436"/>
      <c r="P144" s="436"/>
      <c r="Q144" s="436"/>
      <c r="R144" s="431"/>
      <c r="S144" s="431"/>
      <c r="T144" s="431"/>
      <c r="U144" s="431"/>
      <c r="V144" s="431"/>
      <c r="W144" s="431"/>
      <c r="X144" s="431"/>
      <c r="Y144" s="431"/>
      <c r="Z144" s="431"/>
      <c r="AA144" s="431"/>
      <c r="AB144" s="431"/>
      <c r="AC144" s="431"/>
      <c r="AD144" s="431"/>
      <c r="AE144" s="431"/>
    </row>
    <row r="145" spans="1:35">
      <c r="A145" s="431"/>
      <c r="B145" s="431"/>
      <c r="C145" s="431"/>
      <c r="D145" s="431"/>
      <c r="E145" s="431"/>
      <c r="F145" s="431"/>
      <c r="G145" s="431"/>
      <c r="H145" s="431"/>
      <c r="I145" s="431"/>
      <c r="J145" s="431"/>
      <c r="K145" s="431"/>
      <c r="L145" s="431"/>
      <c r="M145" s="431"/>
      <c r="N145" s="436"/>
      <c r="O145" s="436"/>
      <c r="P145" s="436"/>
      <c r="Q145" s="436"/>
      <c r="R145" s="431"/>
      <c r="S145" s="431"/>
      <c r="T145" s="431"/>
      <c r="U145" s="431"/>
      <c r="V145" s="431"/>
      <c r="W145" s="431"/>
      <c r="X145" s="433" t="s">
        <v>381</v>
      </c>
      <c r="Y145" s="431"/>
      <c r="Z145" s="431"/>
      <c r="AA145" s="431"/>
      <c r="AB145" s="431"/>
      <c r="AC145" s="431"/>
      <c r="AD145" s="431"/>
      <c r="AE145" s="431"/>
      <c r="AF145" s="2755">
        <f>IF(MARITAL="UNMARRIED",15840000+(DEPENDENT*1320000),IF(MARITAL="MARRIED",17160000+(DEPENDENT*1320000),IF(MARITAL="married+",31680000+(DEPENDENT*1320000),"MARITAL STATUS?")))</f>
        <v>0</v>
      </c>
      <c r="AG145" s="2755"/>
      <c r="AH145" s="2755"/>
      <c r="AI145" s="2755"/>
    </row>
    <row r="146" spans="1:31">
      <c r="A146" s="431"/>
      <c r="B146" s="431" t="s">
        <v>322</v>
      </c>
      <c r="C146" s="431"/>
      <c r="D146" s="431"/>
      <c r="E146" s="431"/>
      <c r="F146" s="431"/>
      <c r="G146" s="431"/>
      <c r="H146" s="431"/>
      <c r="I146" s="431"/>
      <c r="J146" s="436">
        <f>IF(OR(ISBLANK(dateofdeparture)=True,(dateofdeparture-taxyearend)&gt;0),N114,0)</f>
        <v>0</v>
      </c>
      <c r="K146" s="436"/>
      <c r="L146" s="436"/>
      <c r="M146" s="436"/>
      <c r="N146" s="431"/>
      <c r="O146" s="431"/>
      <c r="P146" s="431"/>
      <c r="Q146" s="431"/>
      <c r="R146" s="431"/>
      <c r="S146" s="431"/>
      <c r="T146" s="431"/>
      <c r="U146" s="431"/>
      <c r="V146" s="431"/>
      <c r="W146" s="431"/>
      <c r="X146" s="431"/>
      <c r="Y146" s="431"/>
      <c r="Z146" s="431"/>
      <c r="AA146" s="431"/>
      <c r="AB146" s="431"/>
      <c r="AC146" s="431"/>
      <c r="AD146" s="431"/>
      <c r="AE146" s="431"/>
    </row>
    <row r="147" spans="1:31">
      <c r="A147" s="431"/>
      <c r="B147" s="431" t="s">
        <v>341</v>
      </c>
      <c r="C147" s="431"/>
      <c r="D147" s="431"/>
      <c r="E147" s="431"/>
      <c r="F147" s="431"/>
      <c r="G147" s="431"/>
      <c r="H147" s="431"/>
      <c r="I147" s="431"/>
      <c r="J147" s="2756">
        <f>IF(OR(ISBLANK(dateofdeparture)=True,(dateofdeparture-taxyearend)&gt;0),-(irregulardomesticincome*12/'GENERAL INFO'!V109),0)</f>
        <v>0</v>
      </c>
      <c r="K147" s="2756"/>
      <c r="L147" s="2756"/>
      <c r="M147" s="2756"/>
      <c r="N147" s="431"/>
      <c r="O147" s="431"/>
      <c r="P147" s="431"/>
      <c r="Q147" s="431"/>
      <c r="R147" s="431"/>
      <c r="S147" s="431"/>
      <c r="T147" s="431"/>
      <c r="U147" s="431"/>
      <c r="V147" s="431"/>
      <c r="W147" s="431"/>
      <c r="X147" s="431"/>
      <c r="Y147" s="431"/>
      <c r="Z147" s="431"/>
      <c r="AA147" s="431"/>
      <c r="AB147" s="431"/>
      <c r="AC147" s="431"/>
      <c r="AD147" s="431"/>
      <c r="AE147" s="431"/>
    </row>
    <row r="148" spans="1:31">
      <c r="A148" s="431"/>
      <c r="B148" s="431" t="s">
        <v>342</v>
      </c>
      <c r="C148" s="431"/>
      <c r="D148" s="431"/>
      <c r="E148" s="431"/>
      <c r="F148" s="431"/>
      <c r="G148" s="431"/>
      <c r="H148" s="431"/>
      <c r="I148" s="431"/>
      <c r="J148" s="436"/>
      <c r="K148" s="436"/>
      <c r="L148" s="436"/>
      <c r="M148" s="436"/>
      <c r="N148" s="436">
        <f>J146+J147</f>
        <v>0</v>
      </c>
      <c r="O148" s="436"/>
      <c r="P148" s="436"/>
      <c r="Q148" s="436"/>
      <c r="R148" s="431"/>
      <c r="S148" s="431"/>
      <c r="T148" s="431"/>
      <c r="U148" s="431"/>
      <c r="V148" s="431"/>
      <c r="W148" s="431"/>
      <c r="X148" s="433" t="s">
        <v>326</v>
      </c>
      <c r="Y148" s="431"/>
      <c r="Z148" s="431"/>
      <c r="AA148" s="431"/>
      <c r="AB148" s="431"/>
      <c r="AC148" s="431"/>
      <c r="AD148" s="431"/>
      <c r="AE148" s="431"/>
    </row>
    <row r="149" spans="1:37">
      <c r="A149" s="431"/>
      <c r="B149" s="431"/>
      <c r="C149" s="431"/>
      <c r="D149" s="431"/>
      <c r="E149" s="431"/>
      <c r="F149" s="431"/>
      <c r="G149" s="431"/>
      <c r="H149" s="431"/>
      <c r="I149" s="431"/>
      <c r="J149" s="431"/>
      <c r="K149" s="431"/>
      <c r="L149" s="431"/>
      <c r="M149" s="431"/>
      <c r="N149" s="436"/>
      <c r="O149" s="436"/>
      <c r="P149" s="436"/>
      <c r="Q149" s="436"/>
      <c r="R149" s="431"/>
      <c r="S149" s="431"/>
      <c r="T149" s="431"/>
      <c r="U149" s="431"/>
      <c r="V149" s="431"/>
      <c r="W149" s="431"/>
      <c r="X149" s="431"/>
      <c r="Y149" s="431" t="s">
        <v>327</v>
      </c>
      <c r="Z149" s="431"/>
      <c r="AA149" s="431"/>
      <c r="AB149" s="431"/>
      <c r="AC149" s="431"/>
      <c r="AD149" s="431"/>
      <c r="AE149" s="431"/>
      <c r="AF149" s="2751">
        <f>IF(OR(ISBLANK(dateofdeparture)=True,(dateofdeparture-taxyearend)&lt;0),IF(J142-R156&lt;0,0,J142-R156),0)</f>
        <v>0</v>
      </c>
      <c r="AG149" s="2751"/>
      <c r="AH149" s="2751"/>
      <c r="AI149" s="2751"/>
      <c r="AK149" s="427" t="e">
        <f>IF(AND(AF149&lt;=0),"A",IF(AND(AF149&lt;=50000000),"B",IF(AND(AF149&gt;50000000,AF149&lt;=250000000),"C",IF(AND(AF149&gt;250000000,AF149&lt;=500000000),"D","E"))))</f>
        <v>#VALUE!</v>
      </c>
    </row>
    <row r="150" spans="1:35">
      <c r="A150" s="431"/>
      <c r="B150" s="431" t="s">
        <v>323</v>
      </c>
      <c r="C150" s="431"/>
      <c r="D150" s="431"/>
      <c r="E150" s="431"/>
      <c r="F150" s="431"/>
      <c r="G150" s="431"/>
      <c r="H150" s="431"/>
      <c r="I150" s="431"/>
      <c r="J150" s="436">
        <f>IF(OR(ISBLANK(dateofdeparture)=True,(dateofdeparture-taxyearend)&gt;0),N115,0)</f>
        <v>0</v>
      </c>
      <c r="K150" s="436"/>
      <c r="L150" s="436"/>
      <c r="M150" s="436"/>
      <c r="N150" s="431"/>
      <c r="O150" s="431"/>
      <c r="P150" s="431"/>
      <c r="Q150" s="431"/>
      <c r="R150" s="431"/>
      <c r="S150" s="431"/>
      <c r="T150" s="431"/>
      <c r="U150" s="431"/>
      <c r="V150" s="431"/>
      <c r="W150" s="431"/>
      <c r="X150" s="431"/>
      <c r="Y150" s="431" t="s">
        <v>328</v>
      </c>
      <c r="Z150" s="431"/>
      <c r="AA150" s="431"/>
      <c r="AB150" s="431"/>
      <c r="AC150" s="431"/>
      <c r="AD150" s="431"/>
      <c r="AE150" s="431"/>
      <c r="AF150" s="2760">
        <f>J$143</f>
        <v>0</v>
      </c>
      <c r="AG150" s="2760"/>
      <c r="AH150" s="2760"/>
      <c r="AI150" s="2760"/>
    </row>
    <row r="151" spans="1:37">
      <c r="A151" s="431"/>
      <c r="B151" s="431" t="s">
        <v>343</v>
      </c>
      <c r="C151" s="431"/>
      <c r="D151" s="431"/>
      <c r="E151" s="431"/>
      <c r="F151" s="431"/>
      <c r="G151" s="431"/>
      <c r="H151" s="431"/>
      <c r="I151" s="431"/>
      <c r="J151" s="2756">
        <f>IF(OR(ISBLANK(dateofdeparture)=True,(dateofdeparture-taxyearend)&gt;0),(-irregularoverseasincome/WORKPERIOD*12),0)</f>
        <v>0</v>
      </c>
      <c r="K151" s="2756"/>
      <c r="L151" s="2756"/>
      <c r="M151" s="2756"/>
      <c r="N151" s="436"/>
      <c r="O151" s="436"/>
      <c r="P151" s="436"/>
      <c r="Q151" s="436"/>
      <c r="R151" s="431"/>
      <c r="S151" s="431"/>
      <c r="T151" s="431"/>
      <c r="U151" s="431"/>
      <c r="V151" s="431"/>
      <c r="W151" s="431"/>
      <c r="X151" s="431"/>
      <c r="Y151" s="431" t="s">
        <v>329</v>
      </c>
      <c r="Z151" s="431"/>
      <c r="AA151" s="431"/>
      <c r="AB151" s="431"/>
      <c r="AC151" s="431"/>
      <c r="AD151" s="431"/>
      <c r="AE151" s="431"/>
      <c r="AF151" s="2751">
        <f>IF(OR(ISBLANK(dateofdeparture)=True,(dateofdeparture-taxyearend)&lt;0),IF(N144-R156&lt;0,0,N144-R156),0)</f>
        <v>0</v>
      </c>
      <c r="AG151" s="2751"/>
      <c r="AH151" s="2751"/>
      <c r="AI151" s="2751"/>
      <c r="AK151" s="427" t="e">
        <f>IF(AND(AF151&lt;=0),"A",IF(AND(AF151&lt;=50000000),"B",IF(AND(AF151&gt;50000000,AF151&lt;=250000000),"C",IF(AND(AF151&gt;250000000,AF151&lt;=500000000),"D","E"))))</f>
        <v>#VALUE!</v>
      </c>
    </row>
    <row r="152" spans="1:31">
      <c r="A152" s="431"/>
      <c r="B152" s="431" t="s">
        <v>344</v>
      </c>
      <c r="C152" s="431"/>
      <c r="D152" s="431"/>
      <c r="E152" s="431"/>
      <c r="F152" s="431"/>
      <c r="G152" s="431"/>
      <c r="H152" s="431"/>
      <c r="I152" s="431"/>
      <c r="J152" s="431"/>
      <c r="K152" s="431"/>
      <c r="L152" s="431"/>
      <c r="M152" s="431"/>
      <c r="N152" s="436">
        <f>J150+J151</f>
        <v>0</v>
      </c>
      <c r="O152" s="436"/>
      <c r="P152" s="436"/>
      <c r="Q152" s="436"/>
      <c r="R152" s="431"/>
      <c r="S152" s="431"/>
      <c r="T152" s="431"/>
      <c r="U152" s="431"/>
      <c r="V152" s="431"/>
      <c r="W152" s="431"/>
      <c r="X152" s="431"/>
      <c r="Y152" s="431"/>
      <c r="Z152" s="431"/>
      <c r="AA152" s="431"/>
      <c r="AB152" s="431"/>
      <c r="AC152" s="431"/>
      <c r="AD152" s="431"/>
      <c r="AE152" s="431"/>
    </row>
    <row r="153" spans="1:31" ht="6.75" customHeight="1">
      <c r="A153" s="431"/>
      <c r="B153" s="431"/>
      <c r="C153" s="431"/>
      <c r="D153" s="431"/>
      <c r="E153" s="431"/>
      <c r="F153" s="431"/>
      <c r="G153" s="431"/>
      <c r="H153" s="431"/>
      <c r="I153" s="431"/>
      <c r="J153" s="431"/>
      <c r="K153" s="431"/>
      <c r="L153" s="431"/>
      <c r="M153" s="431"/>
      <c r="N153" s="438"/>
      <c r="O153" s="438"/>
      <c r="P153" s="438"/>
      <c r="Q153" s="438"/>
      <c r="R153" s="431"/>
      <c r="S153" s="431"/>
      <c r="T153" s="431"/>
      <c r="U153" s="431"/>
      <c r="V153" s="431"/>
      <c r="W153" s="431"/>
      <c r="X153" s="431"/>
      <c r="Y153" s="431"/>
      <c r="Z153" s="431"/>
      <c r="AA153" s="431"/>
      <c r="AB153" s="431"/>
      <c r="AC153" s="431"/>
      <c r="AD153" s="431"/>
      <c r="AE153" s="431"/>
    </row>
    <row r="154" spans="1:31">
      <c r="A154" s="431"/>
      <c r="B154" s="431" t="s">
        <v>345</v>
      </c>
      <c r="C154" s="431"/>
      <c r="D154" s="431"/>
      <c r="E154" s="431"/>
      <c r="F154" s="431"/>
      <c r="G154" s="431"/>
      <c r="H154" s="431"/>
      <c r="I154" s="431"/>
      <c r="J154" s="431"/>
      <c r="K154" s="431"/>
      <c r="L154" s="431"/>
      <c r="M154" s="431"/>
      <c r="N154" s="431"/>
      <c r="O154" s="431"/>
      <c r="P154" s="431"/>
      <c r="Q154" s="431"/>
      <c r="R154" s="436">
        <f>IF(N152&gt;0,N144+N148+N152,N144+N148+0)</f>
        <v>0</v>
      </c>
      <c r="S154" s="436"/>
      <c r="T154" s="436"/>
      <c r="U154" s="436"/>
      <c r="V154" s="431"/>
      <c r="W154" s="431"/>
      <c r="X154" s="431"/>
      <c r="Y154" s="431"/>
      <c r="Z154" s="431"/>
      <c r="AA154" s="431"/>
      <c r="AB154" s="431"/>
      <c r="AC154" s="431"/>
      <c r="AD154" s="431"/>
      <c r="AE154" s="431"/>
    </row>
    <row r="155" spans="1:31">
      <c r="A155" s="431"/>
      <c r="B155" s="431"/>
      <c r="C155" s="431"/>
      <c r="D155" s="431"/>
      <c r="E155" s="431"/>
      <c r="F155" s="431"/>
      <c r="G155" s="431"/>
      <c r="H155" s="431"/>
      <c r="I155" s="431"/>
      <c r="J155" s="431"/>
      <c r="K155" s="431"/>
      <c r="L155" s="431"/>
      <c r="M155" s="431"/>
      <c r="N155" s="431"/>
      <c r="O155" s="431"/>
      <c r="P155" s="431"/>
      <c r="Q155" s="431"/>
      <c r="R155" s="431"/>
      <c r="S155" s="431"/>
      <c r="T155" s="431"/>
      <c r="U155" s="431"/>
      <c r="V155" s="431"/>
      <c r="W155" s="431"/>
      <c r="X155" s="431"/>
      <c r="Y155" s="431"/>
      <c r="Z155" s="431"/>
      <c r="AA155" s="431"/>
      <c r="AB155" s="431"/>
      <c r="AC155" s="431"/>
      <c r="AD155" s="431"/>
      <c r="AE155" s="431"/>
    </row>
    <row r="156" spans="1:31">
      <c r="A156" s="433" t="s">
        <v>346</v>
      </c>
      <c r="B156" s="439"/>
      <c r="C156" s="431"/>
      <c r="D156" s="431"/>
      <c r="E156" s="431"/>
      <c r="F156" s="431"/>
      <c r="G156" s="431"/>
      <c r="H156" s="431"/>
      <c r="I156" s="431"/>
      <c r="J156" s="431"/>
      <c r="K156" s="431"/>
      <c r="L156" s="431"/>
      <c r="M156" s="431"/>
      <c r="N156" s="431"/>
      <c r="O156" s="431"/>
      <c r="P156" s="431"/>
      <c r="Q156" s="431"/>
      <c r="R156" s="2756">
        <f>IF('GENERAL INFO'!K6="X",personalreliefs,0)</f>
        <v>54000000</v>
      </c>
      <c r="S156" s="2756"/>
      <c r="T156" s="2756"/>
      <c r="U156" s="2756"/>
      <c r="V156" s="431"/>
      <c r="W156" s="431"/>
      <c r="X156" s="431"/>
      <c r="Y156" s="431"/>
      <c r="Z156" s="431"/>
      <c r="AA156" s="431"/>
      <c r="AB156" s="431"/>
      <c r="AC156" s="431"/>
      <c r="AD156" s="431"/>
      <c r="AE156" s="431"/>
    </row>
    <row r="157" spans="1:31">
      <c r="A157" s="433"/>
      <c r="B157" s="439"/>
      <c r="C157" s="431"/>
      <c r="D157" s="431"/>
      <c r="E157" s="431"/>
      <c r="F157" s="431"/>
      <c r="G157" s="431"/>
      <c r="H157" s="431"/>
      <c r="I157" s="431"/>
      <c r="J157" s="431"/>
      <c r="K157" s="431"/>
      <c r="L157" s="431"/>
      <c r="M157" s="431"/>
      <c r="N157" s="431"/>
      <c r="O157" s="431"/>
      <c r="P157" s="431"/>
      <c r="Q157" s="431"/>
      <c r="R157" s="431"/>
      <c r="S157" s="431"/>
      <c r="T157" s="431"/>
      <c r="U157" s="431"/>
      <c r="V157" s="431"/>
      <c r="W157" s="431"/>
      <c r="X157" s="431"/>
      <c r="Y157" s="431"/>
      <c r="Z157" s="431"/>
      <c r="AA157" s="431"/>
      <c r="AB157" s="431"/>
      <c r="AC157" s="431"/>
      <c r="AD157" s="431"/>
      <c r="AE157" s="431"/>
    </row>
    <row r="158" spans="1:31">
      <c r="A158" s="433" t="s">
        <v>331</v>
      </c>
      <c r="B158" s="431"/>
      <c r="C158" s="431"/>
      <c r="D158" s="431"/>
      <c r="E158" s="431"/>
      <c r="F158" s="431"/>
      <c r="G158" s="431"/>
      <c r="H158" s="431"/>
      <c r="I158" s="431"/>
      <c r="J158" s="431"/>
      <c r="K158" s="431"/>
      <c r="L158" s="431"/>
      <c r="M158" s="431"/>
      <c r="N158" s="431"/>
      <c r="O158" s="431"/>
      <c r="P158" s="431"/>
      <c r="Q158" s="431"/>
      <c r="R158" s="436">
        <f>IF(AF164&lt;0,0,AF164)</f>
        <v>0</v>
      </c>
      <c r="S158" s="436"/>
      <c r="T158" s="436"/>
      <c r="U158" s="436"/>
      <c r="V158" s="431"/>
      <c r="W158" s="431"/>
      <c r="X158" s="433" t="s">
        <v>326</v>
      </c>
      <c r="Y158" s="431"/>
      <c r="Z158" s="431"/>
      <c r="AA158" s="431"/>
      <c r="AB158" s="431"/>
      <c r="AC158" s="431"/>
      <c r="AD158" s="431"/>
      <c r="AE158" s="431"/>
    </row>
    <row r="159" spans="1:37">
      <c r="A159" s="433"/>
      <c r="B159" s="431"/>
      <c r="C159" s="431"/>
      <c r="D159" s="431"/>
      <c r="E159" s="431"/>
      <c r="F159" s="431"/>
      <c r="G159" s="431"/>
      <c r="H159" s="431"/>
      <c r="I159" s="431"/>
      <c r="J159" s="431"/>
      <c r="K159" s="2761"/>
      <c r="L159" s="2761"/>
      <c r="M159" s="2761"/>
      <c r="N159" s="431"/>
      <c r="O159" s="431"/>
      <c r="P159" s="431"/>
      <c r="Q159" s="431"/>
      <c r="R159" s="431"/>
      <c r="S159" s="431"/>
      <c r="T159" s="431"/>
      <c r="U159" s="431"/>
      <c r="V159" s="431"/>
      <c r="W159" s="431"/>
      <c r="X159" s="431"/>
      <c r="Y159" s="431" t="s">
        <v>327</v>
      </c>
      <c r="Z159" s="431"/>
      <c r="AA159" s="431"/>
      <c r="AB159" s="431"/>
      <c r="AC159" s="431"/>
      <c r="AD159" s="431"/>
      <c r="AE159" s="431"/>
      <c r="AF159" s="2751">
        <f>IF(OR(ISBLANK(dateofdeparture)=True,(dateofdeparture-taxyearend)&lt;0),J142-R156,0)</f>
        <v>0</v>
      </c>
      <c r="AG159" s="2751"/>
      <c r="AH159" s="2751"/>
      <c r="AI159" s="2751"/>
      <c r="AK159" s="427" t="e">
        <f>IF(AND(AF159&lt;=0),"A",IF(AND(AF159&lt;=50000000),"B",IF(AND(AF159&gt;50000000,AF159&lt;=250000000),"C",IF(AND(AF159&gt;250000000,AF159&lt;=500000000),"D","E"))))</f>
        <v>#VALUE!</v>
      </c>
    </row>
    <row r="160" spans="1:35">
      <c r="A160" s="433" t="s">
        <v>332</v>
      </c>
      <c r="B160" s="431"/>
      <c r="C160" s="431"/>
      <c r="D160" s="431"/>
      <c r="E160" s="431"/>
      <c r="F160" s="431"/>
      <c r="G160" s="431"/>
      <c r="H160" s="431"/>
      <c r="I160" s="431"/>
      <c r="J160" s="431"/>
      <c r="K160" s="431"/>
      <c r="L160" s="431"/>
      <c r="M160" s="431"/>
      <c r="N160" s="431"/>
      <c r="O160" s="431"/>
      <c r="P160" s="431"/>
      <c r="Q160" s="431"/>
      <c r="R160" s="431"/>
      <c r="S160" s="431"/>
      <c r="T160" s="431"/>
      <c r="U160" s="431"/>
      <c r="V160" s="431"/>
      <c r="W160" s="431"/>
      <c r="X160" s="431"/>
      <c r="Y160" s="431" t="s">
        <v>328</v>
      </c>
      <c r="Z160" s="431"/>
      <c r="AA160" s="431"/>
      <c r="AB160" s="431"/>
      <c r="AC160" s="431"/>
      <c r="AD160" s="431"/>
      <c r="AE160" s="431"/>
      <c r="AF160" s="2760">
        <f>J$143</f>
        <v>0</v>
      </c>
      <c r="AG160" s="2760"/>
      <c r="AH160" s="2760"/>
      <c r="AI160" s="2760"/>
    </row>
    <row r="161" spans="1:37">
      <c r="A161" s="433"/>
      <c r="B161" s="431" t="s">
        <v>327</v>
      </c>
      <c r="C161" s="431"/>
      <c r="D161" s="431"/>
      <c r="E161" s="431"/>
      <c r="F161" s="431"/>
      <c r="G161" s="431"/>
      <c r="H161" s="431"/>
      <c r="I161" s="431"/>
      <c r="J161" s="436">
        <f>IF('GENERAL INFO'!$K$6="X",IF(AK149="A",0,IF(AK149="B",0.05*AF60,IF(AK149="C",0.15*AF149-5000000,IF(AK149="D",0.25*AF149-30000000,IF(AK149="E",0.3*AF60-55000000))))),0)</f>
        <v>0</v>
      </c>
      <c r="K161" s="436"/>
      <c r="L161" s="436"/>
      <c r="M161" s="436"/>
      <c r="N161" s="431"/>
      <c r="O161" s="431"/>
      <c r="P161" s="431"/>
      <c r="Q161" s="431"/>
      <c r="R161" s="431"/>
      <c r="S161" s="431"/>
      <c r="T161" s="431"/>
      <c r="U161" s="431"/>
      <c r="V161" s="431"/>
      <c r="W161" s="431"/>
      <c r="X161" s="431"/>
      <c r="Y161" s="431" t="s">
        <v>329</v>
      </c>
      <c r="Z161" s="431"/>
      <c r="AA161" s="431"/>
      <c r="AB161" s="431"/>
      <c r="AC161" s="431"/>
      <c r="AD161" s="431"/>
      <c r="AE161" s="431"/>
      <c r="AF161" s="2751">
        <f>IF(OR(ISBLANK(dateofdeparture)=True,(dateofdeparture-taxyearend)&lt;0),N144-R156,0)</f>
        <v>0</v>
      </c>
      <c r="AG161" s="2751"/>
      <c r="AH161" s="2751"/>
      <c r="AI161" s="2751"/>
      <c r="AK161" s="427" t="e">
        <f>IF(AND(AF161&lt;=0),"A",IF(AND(AF161&lt;=50000000),"B",IF(AND(AF161&gt;50000000,AF161&lt;=250000000),"C",IF(AND(AF161&gt;250000000,AF161&lt;=500000000),"D","E"))))</f>
        <v>#VALUE!</v>
      </c>
    </row>
    <row r="162" spans="1:35">
      <c r="A162" s="433"/>
      <c r="B162" s="431" t="s">
        <v>328</v>
      </c>
      <c r="C162" s="431"/>
      <c r="D162" s="431"/>
      <c r="E162" s="431"/>
      <c r="F162" s="431"/>
      <c r="G162" s="431"/>
      <c r="H162" s="431"/>
      <c r="I162" s="431"/>
      <c r="J162" s="2754">
        <f>N163-J161</f>
        <v>0</v>
      </c>
      <c r="K162" s="2754"/>
      <c r="L162" s="2754"/>
      <c r="M162" s="2754"/>
      <c r="N162" s="431"/>
      <c r="O162" s="431"/>
      <c r="P162" s="431"/>
      <c r="Q162" s="431"/>
      <c r="R162" s="431"/>
      <c r="S162" s="431"/>
      <c r="T162" s="431"/>
      <c r="U162" s="431"/>
      <c r="V162" s="431"/>
      <c r="W162" s="431"/>
      <c r="X162" s="431"/>
      <c r="Y162" s="431" t="s">
        <v>322</v>
      </c>
      <c r="Z162" s="431"/>
      <c r="AA162" s="431"/>
      <c r="AB162" s="431"/>
      <c r="AC162" s="431"/>
      <c r="AD162" s="431"/>
      <c r="AE162" s="431"/>
      <c r="AF162" s="2751">
        <f>N148</f>
        <v>0</v>
      </c>
      <c r="AG162" s="2751"/>
      <c r="AH162" s="2751"/>
      <c r="AI162" s="2751"/>
    </row>
    <row r="163" spans="1:35">
      <c r="A163" s="431"/>
      <c r="B163" s="431" t="s">
        <v>333</v>
      </c>
      <c r="C163" s="431"/>
      <c r="D163" s="431"/>
      <c r="E163" s="431"/>
      <c r="F163" s="431"/>
      <c r="G163" s="431"/>
      <c r="H163" s="431"/>
      <c r="I163" s="431"/>
      <c r="J163" s="431"/>
      <c r="K163" s="431"/>
      <c r="L163" s="431"/>
      <c r="M163" s="431"/>
      <c r="N163" s="2759">
        <f>IF('GENERAL INFO'!K6="X",IF(OR(ISBLANK(dateofdeparture)=True,(dateofdeparture-taxyearend)&lt;0),IF(AK151="A",0,IF(AK151="B",0.05*AF151,IF(AK151="C",0.15*AF151-5000000,IF(AK151="D",0.25*AF151-30000000,IF(AK151="E",0.3*AF151-55000000)))))),0)</f>
        <v>0</v>
      </c>
      <c r="O163" s="2759"/>
      <c r="P163" s="2759"/>
      <c r="Q163" s="2759"/>
      <c r="R163" s="431"/>
      <c r="S163" s="431"/>
      <c r="T163" s="431"/>
      <c r="U163" s="431"/>
      <c r="V163" s="431"/>
      <c r="W163" s="431"/>
      <c r="X163" s="431"/>
      <c r="Y163" s="431" t="s">
        <v>323</v>
      </c>
      <c r="Z163" s="431"/>
      <c r="AA163" s="431"/>
      <c r="AB163" s="431"/>
      <c r="AC163" s="431"/>
      <c r="AD163" s="431"/>
      <c r="AE163" s="431"/>
      <c r="AF163" s="2760">
        <f>N152</f>
        <v>0</v>
      </c>
      <c r="AG163" s="2760"/>
      <c r="AH163" s="2760"/>
      <c r="AI163" s="2760"/>
    </row>
    <row r="164" spans="1:37">
      <c r="A164" s="433"/>
      <c r="B164" s="431" t="s">
        <v>334</v>
      </c>
      <c r="C164" s="431"/>
      <c r="D164" s="431"/>
      <c r="E164" s="431"/>
      <c r="F164" s="431"/>
      <c r="G164" s="431"/>
      <c r="H164" s="431"/>
      <c r="I164" s="431"/>
      <c r="J164" s="431"/>
      <c r="K164" s="431"/>
      <c r="L164" s="431"/>
      <c r="M164" s="431"/>
      <c r="N164" s="2754">
        <f>IF(AF167-N163&lt;0,0,AF167-N163)</f>
        <v>0</v>
      </c>
      <c r="O164" s="2754"/>
      <c r="P164" s="2754"/>
      <c r="Q164" s="2754"/>
      <c r="R164" s="431"/>
      <c r="S164" s="431"/>
      <c r="T164" s="431"/>
      <c r="U164" s="431"/>
      <c r="V164" s="431"/>
      <c r="W164" s="431"/>
      <c r="X164" s="431"/>
      <c r="Y164" s="431" t="s">
        <v>347</v>
      </c>
      <c r="Z164" s="431"/>
      <c r="AA164" s="431"/>
      <c r="AB164" s="431"/>
      <c r="AC164" s="431"/>
      <c r="AD164" s="431"/>
      <c r="AE164" s="431"/>
      <c r="AF164" s="2751">
        <f>SUM(AF161:AI163)</f>
        <v>0</v>
      </c>
      <c r="AG164" s="2751"/>
      <c r="AH164" s="2751"/>
      <c r="AI164" s="2751"/>
      <c r="AK164" s="427" t="e">
        <f>IF(AND(AF164&lt;=0),"A",IF(AND(AF164&lt;=50000000),"B",IF(AND(AF164&gt;50000000,AF164&lt;=250000000),"C",IF(AND(AF164&gt;250000000,AF164&lt;=500000000),"D","E"))))</f>
        <v>#VALUE!</v>
      </c>
    </row>
    <row r="165" spans="1:37">
      <c r="A165" s="433"/>
      <c r="B165" s="431" t="s">
        <v>335</v>
      </c>
      <c r="C165" s="431"/>
      <c r="D165" s="431"/>
      <c r="E165" s="431"/>
      <c r="F165" s="431"/>
      <c r="G165" s="431"/>
      <c r="H165" s="431"/>
      <c r="I165" s="431"/>
      <c r="J165" s="431"/>
      <c r="K165" s="431"/>
      <c r="L165" s="431"/>
      <c r="M165" s="431"/>
      <c r="N165" s="431"/>
      <c r="O165" s="431"/>
      <c r="P165" s="431"/>
      <c r="Q165" s="431"/>
      <c r="R165" s="2754">
        <f>IF(AF167&lt;N163,N163,AF167)</f>
        <v>0</v>
      </c>
      <c r="S165" s="2754"/>
      <c r="T165" s="2754"/>
      <c r="U165" s="2754"/>
      <c r="V165" s="431"/>
      <c r="W165" s="431"/>
      <c r="X165" s="431"/>
      <c r="Y165" s="431" t="s">
        <v>336</v>
      </c>
      <c r="Z165" s="431"/>
      <c r="AA165" s="431"/>
      <c r="AB165" s="431"/>
      <c r="AC165" s="431"/>
      <c r="AD165" s="431"/>
      <c r="AE165" s="431"/>
      <c r="AF165" s="2751">
        <f>INT(AF164/1000)*1000</f>
        <v>0</v>
      </c>
      <c r="AG165" s="2751"/>
      <c r="AH165" s="2751"/>
      <c r="AI165" s="2751"/>
      <c r="AK165" s="427" t="e">
        <f>IF(AND(AF165&lt;=0),"A",IF(AND(AF165&lt;=50000000),"B",IF(AND(AF165&gt;50000000,AF165&lt;=250000000),"C",IF(AND(AF165&gt;250000000,AF165&lt;=500000000),"D","E"))))</f>
        <v>#VALUE!</v>
      </c>
    </row>
    <row r="166" spans="1:31">
      <c r="A166" s="433"/>
      <c r="B166" s="431"/>
      <c r="C166" s="431"/>
      <c r="D166" s="431"/>
      <c r="E166" s="431"/>
      <c r="F166" s="431"/>
      <c r="G166" s="431"/>
      <c r="H166" s="431"/>
      <c r="I166" s="431"/>
      <c r="J166" s="431"/>
      <c r="K166" s="431"/>
      <c r="L166" s="431"/>
      <c r="M166" s="431"/>
      <c r="N166" s="431"/>
      <c r="O166" s="431"/>
      <c r="P166" s="431"/>
      <c r="Q166" s="431"/>
      <c r="R166" s="431"/>
      <c r="S166" s="431"/>
      <c r="T166" s="431"/>
      <c r="U166" s="431"/>
      <c r="V166" s="431"/>
      <c r="W166" s="431"/>
      <c r="X166" s="431"/>
      <c r="Y166" s="431"/>
      <c r="Z166" s="431"/>
      <c r="AA166" s="431"/>
      <c r="AB166" s="431"/>
      <c r="AC166" s="431"/>
      <c r="AD166" s="431"/>
      <c r="AE166" s="431"/>
    </row>
    <row r="167" spans="1:35">
      <c r="A167" s="433" t="s">
        <v>337</v>
      </c>
      <c r="B167" s="431"/>
      <c r="C167" s="431"/>
      <c r="D167" s="431"/>
      <c r="E167" s="431"/>
      <c r="F167" s="431"/>
      <c r="G167" s="431"/>
      <c r="H167" s="431"/>
      <c r="I167" s="431"/>
      <c r="J167" s="431"/>
      <c r="K167" s="431"/>
      <c r="L167" s="431"/>
      <c r="M167" s="431"/>
      <c r="N167" s="431"/>
      <c r="O167" s="431"/>
      <c r="P167" s="431"/>
      <c r="Q167" s="431"/>
      <c r="R167" s="431"/>
      <c r="S167" s="431"/>
      <c r="T167" s="431"/>
      <c r="U167" s="431"/>
      <c r="V167" s="431"/>
      <c r="W167" s="431"/>
      <c r="X167" s="433" t="s">
        <v>355</v>
      </c>
      <c r="Y167" s="431"/>
      <c r="Z167" s="431"/>
      <c r="AA167" s="431"/>
      <c r="AB167" s="431"/>
      <c r="AC167" s="431"/>
      <c r="AD167" s="431"/>
      <c r="AE167" s="431"/>
      <c r="AF167" s="2754" t="e">
        <f>IF(OR(ISBLANK(dateofdeparture)=True,(dateofdeparture-taxyearend)&lt;0),IF($AK$165="A",0,IF(AK165="b",0.05*$AF$165,IF($AK$165="C",0.15*$AF$165-5000000,IF($AK$165="D",0.25*$AF$165-30000000,IF($AK$165="E",0.3*$AF$165-55000000))))),0)</f>
        <v>#VALUE!</v>
      </c>
      <c r="AG167" s="2754"/>
      <c r="AH167" s="2754"/>
      <c r="AI167" s="2754"/>
    </row>
    <row r="168" spans="1:31">
      <c r="A168" s="431"/>
      <c r="B168" s="431" t="s">
        <v>327</v>
      </c>
      <c r="C168" s="431"/>
      <c r="D168" s="431"/>
      <c r="E168" s="431"/>
      <c r="F168" s="431"/>
      <c r="G168" s="431"/>
      <c r="H168" s="431"/>
      <c r="I168" s="431"/>
      <c r="J168" s="2765">
        <f>J161/12*WORKPERIOD</f>
        <v>0</v>
      </c>
      <c r="K168" s="437"/>
      <c r="L168" s="437"/>
      <c r="M168" s="437"/>
      <c r="N168" s="431"/>
      <c r="O168" s="431"/>
      <c r="P168" s="431"/>
      <c r="Q168" s="431"/>
      <c r="R168" s="431"/>
      <c r="S168" s="431"/>
      <c r="T168" s="431"/>
      <c r="U168" s="431"/>
      <c r="V168" s="431"/>
      <c r="W168" s="431"/>
      <c r="X168" s="431"/>
      <c r="Y168" s="431"/>
      <c r="Z168" s="431"/>
      <c r="AA168" s="431"/>
      <c r="AB168" s="431"/>
      <c r="AC168" s="431"/>
      <c r="AD168" s="431"/>
      <c r="AE168" s="431"/>
    </row>
    <row r="169" spans="1:31">
      <c r="A169" s="431"/>
      <c r="B169" s="431" t="s">
        <v>328</v>
      </c>
      <c r="C169" s="431"/>
      <c r="D169" s="431"/>
      <c r="E169" s="431"/>
      <c r="F169" s="431"/>
      <c r="G169" s="431"/>
      <c r="H169" s="431"/>
      <c r="I169" s="431"/>
      <c r="J169" s="2766">
        <f>J162/12*WORKPERIOD</f>
        <v>0</v>
      </c>
      <c r="K169" s="2766"/>
      <c r="L169" s="2766"/>
      <c r="M169" s="2766"/>
      <c r="N169" s="431"/>
      <c r="O169" s="431"/>
      <c r="P169" s="431"/>
      <c r="Q169" s="431"/>
      <c r="R169" s="431"/>
      <c r="S169" s="431"/>
      <c r="T169" s="431"/>
      <c r="U169" s="431"/>
      <c r="V169" s="431"/>
      <c r="W169" s="431"/>
      <c r="X169" s="431"/>
      <c r="Y169" s="431"/>
      <c r="Z169" s="431"/>
      <c r="AA169" s="431"/>
      <c r="AB169" s="431"/>
      <c r="AC169" s="431"/>
      <c r="AD169" s="431"/>
      <c r="AE169" s="431"/>
    </row>
    <row r="170" spans="1:31">
      <c r="A170" s="431"/>
      <c r="B170" s="431" t="s">
        <v>333</v>
      </c>
      <c r="C170" s="431"/>
      <c r="D170" s="431"/>
      <c r="E170" s="431"/>
      <c r="F170" s="431"/>
      <c r="G170" s="431"/>
      <c r="H170" s="431"/>
      <c r="I170" s="431"/>
      <c r="J170" s="437"/>
      <c r="K170" s="437"/>
      <c r="L170" s="437"/>
      <c r="M170" s="437"/>
      <c r="N170" s="2759">
        <f>J168+J169</f>
        <v>0</v>
      </c>
      <c r="O170" s="2759"/>
      <c r="P170" s="2759"/>
      <c r="Q170" s="2759"/>
      <c r="R170" s="431"/>
      <c r="S170" s="431"/>
      <c r="T170" s="431"/>
      <c r="U170" s="431"/>
      <c r="V170" s="431"/>
      <c r="W170" s="431"/>
      <c r="X170" s="431"/>
      <c r="Y170" s="431"/>
      <c r="Z170" s="431"/>
      <c r="AA170" s="431"/>
      <c r="AB170" s="431"/>
      <c r="AC170" s="431"/>
      <c r="AD170" s="431"/>
      <c r="AE170" s="431"/>
    </row>
    <row r="171" spans="1:34">
      <c r="A171" s="431"/>
      <c r="B171" s="431" t="s">
        <v>334</v>
      </c>
      <c r="C171" s="431"/>
      <c r="D171" s="431"/>
      <c r="E171" s="431"/>
      <c r="F171" s="431"/>
      <c r="G171" s="431"/>
      <c r="H171" s="431"/>
      <c r="I171" s="431"/>
      <c r="J171" s="431"/>
      <c r="K171" s="431"/>
      <c r="L171" s="431"/>
      <c r="M171" s="431"/>
      <c r="N171" s="2764">
        <f>N164/12*WORKPERIOD</f>
        <v>0</v>
      </c>
      <c r="O171" s="2764"/>
      <c r="P171" s="2764"/>
      <c r="Q171" s="2764"/>
      <c r="R171" s="431"/>
      <c r="S171" s="431"/>
      <c r="T171" s="431"/>
      <c r="U171" s="431"/>
      <c r="V171" s="431"/>
      <c r="W171" s="431"/>
      <c r="X171" s="431"/>
      <c r="Y171" s="431"/>
      <c r="Z171" s="431"/>
      <c r="AA171" s="431"/>
      <c r="AB171" s="431"/>
      <c r="AC171" s="431"/>
      <c r="AD171" s="431"/>
      <c r="AE171" s="431"/>
      <c r="AH171" s="409" t="s">
        <v>197</v>
      </c>
    </row>
    <row r="172" spans="1:31">
      <c r="A172" s="431"/>
      <c r="B172" s="433" t="s">
        <v>338</v>
      </c>
      <c r="C172" s="431"/>
      <c r="D172" s="431"/>
      <c r="E172" s="431"/>
      <c r="F172" s="431"/>
      <c r="G172" s="431"/>
      <c r="H172" s="431"/>
      <c r="I172" s="431"/>
      <c r="J172" s="431"/>
      <c r="K172" s="431"/>
      <c r="L172" s="431"/>
      <c r="M172" s="431"/>
      <c r="N172" s="431"/>
      <c r="O172" s="431"/>
      <c r="P172" s="431"/>
      <c r="Q172" s="431"/>
      <c r="R172" s="2763">
        <f>N171+N170</f>
        <v>0</v>
      </c>
      <c r="S172" s="2763"/>
      <c r="T172" s="2763"/>
      <c r="U172" s="2763"/>
      <c r="V172" s="431"/>
      <c r="W172" s="431"/>
      <c r="X172" s="431"/>
      <c r="Y172" s="431"/>
      <c r="Z172" s="431"/>
      <c r="AA172" s="431"/>
      <c r="AB172" s="431"/>
      <c r="AC172" s="431"/>
      <c r="AD172" s="431"/>
      <c r="AE172" s="431"/>
    </row>
    <row r="173" spans="1:31">
      <c r="A173" s="431"/>
      <c r="B173" s="431"/>
      <c r="C173" s="431"/>
      <c r="D173" s="431"/>
      <c r="E173" s="431"/>
      <c r="F173" s="431"/>
      <c r="G173" s="431"/>
      <c r="H173" s="431"/>
      <c r="I173" s="431"/>
      <c r="J173" s="431"/>
      <c r="K173" s="431"/>
      <c r="L173" s="431"/>
      <c r="M173" s="431"/>
      <c r="N173" s="431"/>
      <c r="O173" s="431"/>
      <c r="P173" s="431"/>
      <c r="Q173" s="431"/>
      <c r="R173" s="431"/>
      <c r="S173" s="431"/>
      <c r="T173" s="431"/>
      <c r="U173" s="431"/>
      <c r="V173" s="431"/>
      <c r="W173" s="431"/>
      <c r="X173" s="431"/>
      <c r="Y173" s="431"/>
      <c r="Z173" s="431"/>
      <c r="AA173" s="431"/>
      <c r="AB173" s="431"/>
      <c r="AC173" s="431"/>
      <c r="AD173" s="431"/>
      <c r="AE173" s="431"/>
    </row>
    <row r="174" spans="1:31">
      <c r="A174" s="433" t="s">
        <v>348</v>
      </c>
      <c r="B174" s="431"/>
      <c r="C174" s="431"/>
      <c r="D174" s="431"/>
      <c r="E174" s="431"/>
      <c r="F174" s="431"/>
      <c r="G174" s="431"/>
      <c r="H174" s="431"/>
      <c r="I174" s="431"/>
      <c r="J174" s="431"/>
      <c r="K174" s="431"/>
      <c r="L174" s="431"/>
      <c r="M174" s="431"/>
      <c r="N174" s="431"/>
      <c r="O174" s="431"/>
      <c r="P174" s="431"/>
      <c r="Q174" s="431"/>
      <c r="R174" s="431"/>
      <c r="S174" s="431"/>
      <c r="T174" s="431"/>
      <c r="U174" s="431"/>
      <c r="V174" s="431"/>
      <c r="W174" s="431"/>
      <c r="X174" s="431"/>
      <c r="Y174" s="431"/>
      <c r="Z174" s="431"/>
      <c r="AA174" s="431"/>
      <c r="AB174" s="431"/>
      <c r="AC174" s="431"/>
      <c r="AD174" s="431"/>
      <c r="AE174" s="431"/>
    </row>
    <row r="175" spans="1:31">
      <c r="A175" s="431"/>
      <c r="B175" s="431" t="s">
        <v>349</v>
      </c>
      <c r="C175" s="431"/>
      <c r="D175" s="431"/>
      <c r="E175" s="431"/>
      <c r="F175" s="431"/>
      <c r="G175" s="431"/>
      <c r="H175" s="431"/>
      <c r="I175" s="431"/>
      <c r="J175" s="431"/>
      <c r="K175" s="431"/>
      <c r="L175" s="431"/>
      <c r="M175" s="431"/>
      <c r="N175" s="436">
        <f>IF(OR(ISBLANK(dateofdeparture)=True,(dateofdeparture-taxyearend)&gt;0),'GENERAL INFO'!V151,0)</f>
        <v>0</v>
      </c>
      <c r="O175" s="436"/>
      <c r="P175" s="436"/>
      <c r="Q175" s="436"/>
      <c r="R175" s="431"/>
      <c r="S175" s="431"/>
      <c r="T175" s="431"/>
      <c r="U175" s="431"/>
      <c r="V175" s="431"/>
      <c r="W175" s="431"/>
      <c r="X175" s="431"/>
      <c r="Y175" s="431" t="s">
        <v>197</v>
      </c>
      <c r="Z175" s="431"/>
      <c r="AA175" s="431"/>
      <c r="AB175" s="431"/>
      <c r="AC175" s="431"/>
      <c r="AD175" s="431"/>
      <c r="AE175" s="431"/>
    </row>
    <row r="176" spans="1:31">
      <c r="A176" s="431"/>
      <c r="B176" s="431" t="s">
        <v>1018</v>
      </c>
      <c r="C176" s="431"/>
      <c r="D176" s="431"/>
      <c r="E176" s="431"/>
      <c r="F176" s="431"/>
      <c r="G176" s="431"/>
      <c r="H176" s="431"/>
      <c r="I176" s="431"/>
      <c r="J176" s="431"/>
      <c r="K176" s="431"/>
      <c r="L176" s="431"/>
      <c r="M176" s="431"/>
      <c r="N176" s="436">
        <f>IF(OR(ISBLANK(dateofdeparture)=True,(dateofdeparture-taxyearend)&gt;0),'JAPANESE INCOME'!J149,0)</f>
        <v>0</v>
      </c>
      <c r="O176" s="436"/>
      <c r="P176" s="436"/>
      <c r="Q176" s="436"/>
      <c r="R176" s="431"/>
      <c r="S176" s="431"/>
      <c r="T176" s="431"/>
      <c r="U176" s="431"/>
      <c r="V176" s="431"/>
      <c r="W176" s="431"/>
      <c r="X176" s="431"/>
      <c r="Y176" s="431"/>
      <c r="Z176" s="431"/>
      <c r="AA176" s="431"/>
      <c r="AB176" s="431"/>
      <c r="AC176" s="431"/>
      <c r="AD176" s="431"/>
      <c r="AE176" s="431"/>
    </row>
    <row r="177" spans="1:31">
      <c r="A177" s="431"/>
      <c r="B177" s="431" t="s">
        <v>1017</v>
      </c>
      <c r="C177" s="431"/>
      <c r="D177" s="431"/>
      <c r="E177" s="431"/>
      <c r="F177" s="431"/>
      <c r="G177" s="431"/>
      <c r="H177" s="431"/>
      <c r="I177" s="431"/>
      <c r="J177" s="431"/>
      <c r="K177" s="431"/>
      <c r="L177" s="431"/>
      <c r="M177" s="431"/>
      <c r="N177" s="2756">
        <f>IF(OR(ISBLANK(dateofdeparture)=True,(dateofdeparture-taxyearend)&gt;0),-'JAPANESE INCOME'!J163,0)</f>
        <v>0</v>
      </c>
      <c r="O177" s="2756"/>
      <c r="P177" s="2756"/>
      <c r="Q177" s="2756"/>
      <c r="R177" s="431"/>
      <c r="S177" s="431"/>
      <c r="T177" s="431"/>
      <c r="U177" s="431"/>
      <c r="V177" s="431"/>
      <c r="W177" s="431"/>
      <c r="X177" s="431"/>
      <c r="Y177" s="431"/>
      <c r="Z177" s="431"/>
      <c r="AA177" s="431"/>
      <c r="AB177" s="431"/>
      <c r="AC177" s="431"/>
      <c r="AD177" s="431"/>
      <c r="AE177" s="431"/>
    </row>
    <row r="178" spans="1:31">
      <c r="A178" s="431"/>
      <c r="B178" s="431" t="s">
        <v>350</v>
      </c>
      <c r="C178" s="431"/>
      <c r="D178" s="431"/>
      <c r="E178" s="431"/>
      <c r="F178" s="431"/>
      <c r="G178" s="431"/>
      <c r="H178" s="431"/>
      <c r="I178" s="431"/>
      <c r="J178" s="431"/>
      <c r="K178" s="431"/>
      <c r="L178" s="431"/>
      <c r="M178" s="431"/>
      <c r="N178" s="431"/>
      <c r="O178" s="431"/>
      <c r="P178" s="431"/>
      <c r="Q178" s="431"/>
      <c r="R178" s="2763">
        <f>+SUM(N175:Q177)</f>
        <v>0</v>
      </c>
      <c r="S178" s="2763"/>
      <c r="T178" s="2763"/>
      <c r="U178" s="2763"/>
      <c r="V178" s="431"/>
      <c r="W178" s="431"/>
      <c r="X178" s="431"/>
      <c r="Y178" s="431" t="s">
        <v>197</v>
      </c>
      <c r="Z178" s="431"/>
      <c r="AA178" s="431" t="s">
        <v>197</v>
      </c>
      <c r="AB178" s="431"/>
      <c r="AC178" s="431"/>
      <c r="AD178" s="431"/>
      <c r="AE178" s="431"/>
    </row>
    <row r="179" spans="1:31">
      <c r="A179" s="431"/>
      <c r="B179" s="431"/>
      <c r="C179" s="431"/>
      <c r="D179" s="431"/>
      <c r="E179" s="431"/>
      <c r="F179" s="431"/>
      <c r="G179" s="431"/>
      <c r="H179" s="431"/>
      <c r="I179" s="431"/>
      <c r="J179" s="431"/>
      <c r="K179" s="431"/>
      <c r="L179" s="431"/>
      <c r="M179" s="431"/>
      <c r="N179" s="431"/>
      <c r="O179" s="431"/>
      <c r="P179" s="431"/>
      <c r="Q179" s="431"/>
      <c r="R179" s="438"/>
      <c r="S179" s="438"/>
      <c r="T179" s="438"/>
      <c r="U179" s="438"/>
      <c r="V179" s="431"/>
      <c r="W179" s="431"/>
      <c r="X179" s="431"/>
      <c r="Y179" s="431"/>
      <c r="Z179" s="431"/>
      <c r="AA179" s="431"/>
      <c r="AB179" s="431"/>
      <c r="AC179" s="431"/>
      <c r="AD179" s="431"/>
      <c r="AE179" s="431"/>
    </row>
    <row r="180" spans="1:31">
      <c r="A180" s="433" t="s">
        <v>351</v>
      </c>
      <c r="B180" s="431"/>
      <c r="C180" s="431"/>
      <c r="D180" s="431"/>
      <c r="E180" s="431"/>
      <c r="F180" s="431"/>
      <c r="G180" s="431"/>
      <c r="H180" s="431"/>
      <c r="I180" s="431"/>
      <c r="J180" s="431"/>
      <c r="K180" s="431"/>
      <c r="L180" s="431"/>
      <c r="M180" s="431"/>
      <c r="N180" s="431"/>
      <c r="O180" s="431" t="s">
        <v>197</v>
      </c>
      <c r="P180" s="431"/>
      <c r="Q180" s="431"/>
      <c r="R180" s="2763">
        <f>+R172-R178</f>
        <v>0</v>
      </c>
      <c r="S180" s="2763"/>
      <c r="T180" s="2763"/>
      <c r="U180" s="2763"/>
      <c r="V180" s="431"/>
      <c r="W180" s="431"/>
      <c r="X180" s="431"/>
      <c r="Y180" s="431"/>
      <c r="Z180" s="431"/>
      <c r="AA180" s="431"/>
      <c r="AB180" s="431"/>
      <c r="AC180" s="431"/>
      <c r="AD180" s="431"/>
      <c r="AE180" s="431"/>
    </row>
    <row r="181" spans="1:31">
      <c r="A181" s="431"/>
      <c r="B181" s="431"/>
      <c r="C181" s="431"/>
      <c r="D181" s="431"/>
      <c r="E181" s="431"/>
      <c r="F181" s="431"/>
      <c r="G181" s="431"/>
      <c r="H181" s="431"/>
      <c r="I181" s="431"/>
      <c r="J181" s="431"/>
      <c r="K181" s="431"/>
      <c r="L181" s="431"/>
      <c r="M181" s="431"/>
      <c r="N181" s="431"/>
      <c r="O181" s="431"/>
      <c r="P181" s="431"/>
      <c r="Q181" s="431"/>
      <c r="R181" s="431"/>
      <c r="S181" s="431"/>
      <c r="T181" s="431"/>
      <c r="U181" s="431"/>
      <c r="V181" s="431"/>
      <c r="W181" s="431"/>
      <c r="X181" s="431"/>
      <c r="Y181" s="431"/>
      <c r="Z181" s="431"/>
      <c r="AA181" s="431"/>
      <c r="AB181" s="431"/>
      <c r="AC181" s="431"/>
      <c r="AD181" s="431"/>
      <c r="AE181" s="431"/>
    </row>
    <row r="182" spans="1:31">
      <c r="A182" s="433" t="s">
        <v>352</v>
      </c>
      <c r="B182" s="431"/>
      <c r="C182" s="431"/>
      <c r="D182" s="431"/>
      <c r="E182" s="431"/>
      <c r="F182" s="431"/>
      <c r="G182" s="431"/>
      <c r="H182" s="431"/>
      <c r="I182" s="431"/>
      <c r="J182" s="431"/>
      <c r="K182" s="431"/>
      <c r="L182" s="431"/>
      <c r="M182" s="431"/>
      <c r="N182" s="431"/>
      <c r="O182" s="431"/>
      <c r="P182" s="431"/>
      <c r="Q182" s="431"/>
      <c r="R182" s="2753">
        <f>IF(WORKPERIOD&gt;12,12,WORKPERIOD)</f>
        <v>6</v>
      </c>
      <c r="S182" s="2753"/>
      <c r="T182" s="2753"/>
      <c r="U182" s="2753"/>
      <c r="V182" s="431"/>
      <c r="W182" s="431"/>
      <c r="X182" s="431"/>
      <c r="Y182" s="431"/>
      <c r="Z182" s="431"/>
      <c r="AA182" s="431"/>
      <c r="AB182" s="431"/>
      <c r="AC182" s="431"/>
      <c r="AD182" s="431"/>
      <c r="AE182" s="431"/>
    </row>
    <row r="183" spans="1:31">
      <c r="A183" s="433"/>
      <c r="B183" s="431"/>
      <c r="C183" s="431"/>
      <c r="D183" s="431"/>
      <c r="E183" s="431"/>
      <c r="F183" s="431"/>
      <c r="G183" s="431"/>
      <c r="H183" s="431"/>
      <c r="I183" s="431"/>
      <c r="J183" s="431"/>
      <c r="K183" s="431"/>
      <c r="L183" s="431"/>
      <c r="M183" s="431"/>
      <c r="N183" s="431"/>
      <c r="O183" s="431"/>
      <c r="P183" s="431"/>
      <c r="Q183" s="431"/>
      <c r="R183" s="431"/>
      <c r="S183" s="431"/>
      <c r="T183" s="431"/>
      <c r="U183" s="431"/>
      <c r="V183" s="431"/>
      <c r="W183" s="431"/>
      <c r="X183" s="431"/>
      <c r="Y183" s="431"/>
      <c r="Z183" s="431"/>
      <c r="AA183" s="431"/>
      <c r="AB183" s="431"/>
      <c r="AC183" s="431"/>
      <c r="AD183" s="431"/>
      <c r="AE183" s="431"/>
    </row>
    <row r="184" spans="1:31" ht="13.5" customHeight="1" thickBot="1">
      <c r="A184" s="433" t="s">
        <v>353</v>
      </c>
      <c r="B184" s="431"/>
      <c r="C184" s="431"/>
      <c r="D184" s="431"/>
      <c r="E184" s="431"/>
      <c r="F184" s="431"/>
      <c r="G184" s="431"/>
      <c r="H184" s="431"/>
      <c r="I184" s="431"/>
      <c r="J184" s="431"/>
      <c r="K184" s="431"/>
      <c r="L184" s="431"/>
      <c r="M184" s="431"/>
      <c r="N184" s="431"/>
      <c r="O184" s="431"/>
      <c r="P184" s="431"/>
      <c r="Q184" s="431"/>
      <c r="R184" s="2762">
        <f>R180/R182</f>
        <v>0</v>
      </c>
      <c r="S184" s="2762"/>
      <c r="T184" s="2762"/>
      <c r="U184" s="2762"/>
      <c r="V184" s="431"/>
      <c r="W184" s="431"/>
      <c r="X184" s="431"/>
      <c r="Y184" s="431"/>
      <c r="Z184" s="431"/>
      <c r="AA184" s="431"/>
      <c r="AB184" s="431"/>
      <c r="AC184" s="431"/>
      <c r="AD184" s="431"/>
      <c r="AE184" s="431"/>
    </row>
    <row r="185" spans="1:31" ht="13.5" customHeight="1" thickTop="1">
      <c r="A185" s="431"/>
      <c r="B185" s="431"/>
      <c r="C185" s="431"/>
      <c r="D185" s="431"/>
      <c r="E185" s="431"/>
      <c r="F185" s="431"/>
      <c r="G185" s="431"/>
      <c r="H185" s="431"/>
      <c r="I185" s="431"/>
      <c r="J185" s="431"/>
      <c r="K185" s="431"/>
      <c r="L185" s="431"/>
      <c r="M185" s="431"/>
      <c r="N185" s="431"/>
      <c r="O185" s="431"/>
      <c r="P185" s="431"/>
      <c r="Q185" s="431"/>
      <c r="R185" s="431"/>
      <c r="S185" s="431"/>
      <c r="T185" s="431"/>
      <c r="U185" s="431"/>
      <c r="V185" s="431"/>
      <c r="W185" s="431"/>
      <c r="X185" s="431"/>
      <c r="Y185" s="431"/>
      <c r="Z185" s="431"/>
      <c r="AA185" s="431"/>
      <c r="AB185" s="431"/>
      <c r="AC185" s="431"/>
      <c r="AD185" s="431"/>
      <c r="AE185" s="431"/>
    </row>
  </sheetData>
  <mergeCells count="161">
    <mergeCell ref="N42:Q42"/>
    <mergeCell ref="N43:Q43"/>
    <mergeCell ref="N55:Q55"/>
    <mergeCell ref="N15:Q15"/>
    <mergeCell ref="N16:Q16"/>
    <mergeCell ref="N17:Q17"/>
    <mergeCell ref="R18:U18"/>
    <mergeCell ref="L69:M69"/>
    <mergeCell ref="E4:F4"/>
    <mergeCell ref="J13:M13"/>
    <mergeCell ref="J14:M14"/>
    <mergeCell ref="J21:M21"/>
    <mergeCell ref="M26:Q26"/>
    <mergeCell ref="N24:Q24"/>
    <mergeCell ref="J40:M40"/>
    <mergeCell ref="J41:M41"/>
    <mergeCell ref="J57:M57"/>
    <mergeCell ref="J58:M58"/>
    <mergeCell ref="N59:Q59"/>
    <mergeCell ref="AF24:AI24"/>
    <mergeCell ref="N25:Q25"/>
    <mergeCell ref="AF25:AI25"/>
    <mergeCell ref="AF21:AI21"/>
    <mergeCell ref="J22:M22"/>
    <mergeCell ref="AF22:AI22"/>
    <mergeCell ref="N23:Q23"/>
    <mergeCell ref="AF23:AI23"/>
    <mergeCell ref="AF31:AI31"/>
    <mergeCell ref="AF32:AI32"/>
    <mergeCell ref="J33:M33"/>
    <mergeCell ref="AF33:AI33"/>
    <mergeCell ref="R26:U26"/>
    <mergeCell ref="AF26:AI26"/>
    <mergeCell ref="R28:U28"/>
    <mergeCell ref="R30:U30"/>
    <mergeCell ref="R37:U37"/>
    <mergeCell ref="AF37:AI37"/>
    <mergeCell ref="AF34:AI34"/>
    <mergeCell ref="N35:Q35"/>
    <mergeCell ref="AF35:AI35"/>
    <mergeCell ref="N36:Q36"/>
    <mergeCell ref="AF36:AI36"/>
    <mergeCell ref="J34:M34"/>
    <mergeCell ref="K70:M70"/>
    <mergeCell ref="AF70:AI70"/>
    <mergeCell ref="AF71:AI71"/>
    <mergeCell ref="J72:M72"/>
    <mergeCell ref="AF72:AI72"/>
    <mergeCell ref="AF60:AI60"/>
    <mergeCell ref="R44:U44"/>
    <mergeCell ref="J52:AB52"/>
    <mergeCell ref="J53:M53"/>
    <mergeCell ref="J54:M54"/>
    <mergeCell ref="N63:Q63"/>
    <mergeCell ref="R65:U65"/>
    <mergeCell ref="R67:U67"/>
    <mergeCell ref="R69:U69"/>
    <mergeCell ref="J61:M61"/>
    <mergeCell ref="AF61:AI61"/>
    <mergeCell ref="J62:M62"/>
    <mergeCell ref="AF62:AI62"/>
    <mergeCell ref="AF56:AI56"/>
    <mergeCell ref="N75:Q75"/>
    <mergeCell ref="AF75:AI75"/>
    <mergeCell ref="R76:U76"/>
    <mergeCell ref="AF76:AI76"/>
    <mergeCell ref="R89:U89"/>
    <mergeCell ref="J73:M73"/>
    <mergeCell ref="AF73:AI73"/>
    <mergeCell ref="N74:Q74"/>
    <mergeCell ref="AF74:AI74"/>
    <mergeCell ref="N87:Q87"/>
    <mergeCell ref="N88:Q88"/>
    <mergeCell ref="R92:U92"/>
    <mergeCell ref="R94:U94"/>
    <mergeCell ref="R83:U83"/>
    <mergeCell ref="N86:Q86"/>
    <mergeCell ref="N106:Q106"/>
    <mergeCell ref="N107:Q107"/>
    <mergeCell ref="J79:M79"/>
    <mergeCell ref="J80:M80"/>
    <mergeCell ref="N81:Q81"/>
    <mergeCell ref="N82:Q82"/>
    <mergeCell ref="R108:U108"/>
    <mergeCell ref="J111:M111"/>
    <mergeCell ref="J103:M103"/>
    <mergeCell ref="J104:M104"/>
    <mergeCell ref="N105:Q105"/>
    <mergeCell ref="N114:Q114"/>
    <mergeCell ref="N115:Q115"/>
    <mergeCell ref="M116:Q116"/>
    <mergeCell ref="R116:U116"/>
    <mergeCell ref="J112:M112"/>
    <mergeCell ref="AF112:AI112"/>
    <mergeCell ref="N113:Q113"/>
    <mergeCell ref="AF113:AI113"/>
    <mergeCell ref="J130:M130"/>
    <mergeCell ref="N125:Q125"/>
    <mergeCell ref="AF125:AI125"/>
    <mergeCell ref="N126:Q126"/>
    <mergeCell ref="AF126:AI126"/>
    <mergeCell ref="J123:M123"/>
    <mergeCell ref="AF123:AI123"/>
    <mergeCell ref="J124:M124"/>
    <mergeCell ref="AF124:AI124"/>
    <mergeCell ref="R120:U120"/>
    <mergeCell ref="AF121:AI121"/>
    <mergeCell ref="AF122:AI122"/>
    <mergeCell ref="J146:M146"/>
    <mergeCell ref="J147:M147"/>
    <mergeCell ref="N148:Q148"/>
    <mergeCell ref="AF149:AI149"/>
    <mergeCell ref="J131:M131"/>
    <mergeCell ref="N132:Q132"/>
    <mergeCell ref="N133:Q133"/>
    <mergeCell ref="R134:U134"/>
    <mergeCell ref="N152:Q152"/>
    <mergeCell ref="R154:U154"/>
    <mergeCell ref="R156:U156"/>
    <mergeCell ref="R158:U158"/>
    <mergeCell ref="J150:M150"/>
    <mergeCell ref="AF150:AI150"/>
    <mergeCell ref="J151:M151"/>
    <mergeCell ref="AF151:AI151"/>
    <mergeCell ref="J162:M162"/>
    <mergeCell ref="AF162:AI162"/>
    <mergeCell ref="R184:U184"/>
    <mergeCell ref="R178:U178"/>
    <mergeCell ref="R180:U180"/>
    <mergeCell ref="N171:Q171"/>
    <mergeCell ref="R172:U172"/>
    <mergeCell ref="N175:Q175"/>
    <mergeCell ref="AF161:AI161"/>
    <mergeCell ref="J168:M168"/>
    <mergeCell ref="J169:M169"/>
    <mergeCell ref="N176:Q176"/>
    <mergeCell ref="N177:Q177"/>
    <mergeCell ref="AF111:AI111"/>
    <mergeCell ref="R96:U96"/>
    <mergeCell ref="R182:U182"/>
    <mergeCell ref="AF167:AI167"/>
    <mergeCell ref="AF145:AI145"/>
    <mergeCell ref="J141:AB141"/>
    <mergeCell ref="J142:M142"/>
    <mergeCell ref="J143:M143"/>
    <mergeCell ref="N144:Q144"/>
    <mergeCell ref="R127:U127"/>
    <mergeCell ref="AF127:AI127"/>
    <mergeCell ref="AF129:AI129"/>
    <mergeCell ref="R118:U118"/>
    <mergeCell ref="N170:Q170"/>
    <mergeCell ref="N164:Q164"/>
    <mergeCell ref="AF164:AI164"/>
    <mergeCell ref="R165:U165"/>
    <mergeCell ref="AF165:AI165"/>
    <mergeCell ref="N163:Q163"/>
    <mergeCell ref="AF163:AI163"/>
    <mergeCell ref="K159:M159"/>
    <mergeCell ref="AF159:AI159"/>
    <mergeCell ref="AF160:AI160"/>
    <mergeCell ref="J161:M161"/>
  </mergeCells>
  <pageMargins left="0.75" right="0.75" top="1" bottom="1" header="0.5" footer="0.3"/>
  <pageSetup paperSize="5" scale="46" orientation="portrait"/>
  <rowBreaks count="1" manualBreakCount="1">
    <brk id="97" max="16383" man="1"/>
  </rowBreaks>
</worksheet>
</file>

<file path=xl/worksheets/sheet2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5" baseColWidth="0"/>
  <sheetData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Tax Doc Content Type" ma:contentTypeID="0x010100718C9B4D4957A04881C83C5CA9F6B207000FCD08313F06DF4EA6E03E1B1798B66C" ma:contentTypeVersion="23" ma:contentTypeDescription="" ma:contentTypeScope="" ma:versionID="59304dd7368a08a49fd07b3ede5e2b01">
  <xsd:schema xmlns:xsd="http://www.w3.org/2001/XMLSchema" xmlns:xs="http://www.w3.org/2001/XMLSchema" xmlns:p="http://schemas.microsoft.com/office/2006/metadata/properties" xmlns:ns2="80acccff-7c06-4f23-9d63-e83923c61c01" targetNamespace="http://schemas.microsoft.com/office/2006/metadata/properties" ma:root="true" ma:fieldsID="4658a0f57c113f47413304aded302184" ns2:_="">
    <xsd:import namespace="80acccff-7c06-4f23-9d63-e83923c61c01"/>
    <xsd:element name="properties">
      <xsd:complexType>
        <xsd:sequence>
          <xsd:element name="documentManagement">
            <xsd:complexType>
              <xsd:all>
                <xsd:element ref="ns2:CompanyName" minOccurs="0"/>
                <xsd:element ref="ns2:EmployeeName" minOccurs="0"/>
                <xsd:element ref="ns2:TrackerID" minOccurs="0"/>
                <xsd:element ref="ns2:YA" minOccurs="0"/>
                <xsd:element ref="ns2:ProcessPDF" minOccurs="0"/>
                <xsd:element ref="ns2:PDF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acccff-7c06-4f23-9d63-e83923c61c01" elementFormDefault="qualified">
    <xsd:import namespace="http://schemas.microsoft.com/office/2006/documentManagement/types"/>
    <xsd:import namespace="http://schemas.microsoft.com/office/infopath/2007/PartnerControls"/>
    <xsd:element name="CompanyName" ma:index="1" nillable="true" ma:displayName="Company Name" ma:indexed="true" ma:internalName="CompanyName" ma:readOnly="false">
      <xsd:simpleType>
        <xsd:restriction base="dms:Text">
          <xsd:maxLength value="255"/>
        </xsd:restriction>
      </xsd:simpleType>
    </xsd:element>
    <xsd:element name="EmployeeName" ma:index="2" nillable="true" ma:displayName="Employee Name/Description" ma:internalName="EmployeeName">
      <xsd:simpleType>
        <xsd:restriction base="dms:Note"/>
      </xsd:simpleType>
    </xsd:element>
    <xsd:element name="TrackerID" ma:index="3" nillable="true" ma:displayName="Tracker ID" ma:internalName="TrackerID">
      <xsd:simpleType>
        <xsd:restriction base="dms:Text">
          <xsd:maxLength value="255"/>
        </xsd:restriction>
      </xsd:simpleType>
    </xsd:element>
    <xsd:element name="YA" ma:index="4" nillable="true" ma:displayName="YA" ma:indexed="true" ma:internalName="YA" ma:readOnly="false">
      <xsd:simpleType>
        <xsd:restriction base="dms:Text">
          <xsd:maxLength value="255"/>
        </xsd:restriction>
      </xsd:simpleType>
    </xsd:element>
    <xsd:element name="ProcessPDF" ma:index="5" nillable="true" ma:displayName="ProcessPDF" ma:default="No" ma:indexed="true" ma:internalName="ProcessPDF" ma:readOnly="false">
      <xsd:simpleType>
        <xsd:restriction base="dms:Text">
          <xsd:maxLength value="255"/>
        </xsd:restriction>
      </xsd:simpleType>
    </xsd:element>
    <xsd:element name="PDFID" ma:index="6" nillable="true" ma:displayName="PDFID" ma:hidden="true" ma:internalName="PDFID" ma:readOnly="fals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cessPDF xmlns="80acccff-7c06-4f23-9d63-e83923c61c01">No</ProcessPDF>
    <EmployeeName xmlns="80acccff-7c06-4f23-9d63-e83923c61c01" xsi:nil="true"/>
    <CompanyName xmlns="80acccff-7c06-4f23-9d63-e83923c61c01" xsi:nil="true"/>
    <PDFID xmlns="80acccff-7c06-4f23-9d63-e83923c61c01" xsi:nil="true"/>
    <YA xmlns="80acccff-7c06-4f23-9d63-e83923c61c01" xsi:nil="true"/>
    <TrackerID xmlns="80acccff-7c06-4f23-9d63-e83923c61c01" xsi:nil="true"/>
  </documentManagement>
</p:properties>
</file>

<file path=customXml/itemProps1.xml><?xml version="1.0" encoding="utf-8"?>
<ds:datastoreItem xmlns:ds="http://schemas.openxmlformats.org/officeDocument/2006/customXml" ds:itemID="{E267F910-BAFD-47A6-B0D3-D00D314535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acccff-7c06-4f23-9d63-e83923c61c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ECE60D3-9F7A-4429-A4A0-9A7BCFBDF4C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64A7B0-7F97-4ADC-A81A-09AB2385F33E}">
  <ds:schemaRefs>
    <ds:schemaRef ds:uri="80acccff-7c06-4f23-9d63-e83923c61c01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>
  <Application>Microsoft Excel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Acer</dc:creator>
  <cp:lastModifiedBy>Rufaida, Anne</cp:lastModifiedBy>
  <dcterms:created xsi:type="dcterms:W3CDTF">2007-05-02T04:02:45Z</dcterms:created>
  <dcterms:modified xsi:type="dcterms:W3CDTF">2021-09-13T13:26:39Z</dcterms:modified>
  <cp:lastPrinted>2019-01-28T09:37:11Z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ontentTypeId">
    <vt:lpwstr>0x010100718C9B4D4957A04881C83C5CA9F6B207000FCD08313F06DF4EA6E03E1B1798B66C</vt:lpwstr>
  </property>
</Properties>
</file>